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13_ncr:1_{2FA507C1-9405-4B5C-AA9E-8C2DF64872C1}" xr6:coauthVersionLast="47" xr6:coauthVersionMax="47" xr10:uidLastSave="{00000000-0000-0000-0000-000000000000}"/>
  <bookViews>
    <workbookView xWindow="28680" yWindow="-120" windowWidth="29040" windowHeight="15840" tabRatio="809" xr2:uid="{00000000-000D-0000-FFFF-FFFF00000000}"/>
  </bookViews>
  <sheets>
    <sheet name="RESUM 2021" sheetId="19" r:id="rId1"/>
    <sheet name="PAPER I CARTRÓ" sheetId="10" r:id="rId2"/>
    <sheet name="PAPER I CARTRÓ PORTA A PORTA" sheetId="20" r:id="rId3"/>
    <sheet name="ENVASOS" sheetId="12" r:id="rId4"/>
    <sheet name="VIDRE" sheetId="13" r:id="rId5"/>
    <sheet name="RMO" sheetId="6" r:id="rId6"/>
    <sheet name="FORM" sheetId="5" r:id="rId7"/>
    <sheet name="VERD" sheetId="16" r:id="rId8"/>
    <sheet name="Voluminosos" sheetId="18" r:id="rId9"/>
  </sheets>
  <definedNames>
    <definedName name="llInstal" localSheetId="2">#REF!</definedName>
    <definedName name="llInstal">#REF!</definedName>
    <definedName name="llInstalCodi" localSheetId="2">#REF!</definedName>
    <definedName name="llInstalCodi">#REF!</definedName>
    <definedName name="llTitulars" localSheetId="2">#REF!</definedName>
    <definedName name="llTitulars">#REF!</definedName>
    <definedName name="llTitularsCodi" localSheetId="2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20" l="1"/>
  <c r="J28" i="10" l="1"/>
  <c r="J26" i="5" l="1"/>
  <c r="J21" i="5"/>
  <c r="J22" i="13" l="1"/>
  <c r="J20" i="13"/>
  <c r="O9" i="16" l="1"/>
  <c r="H21" i="6"/>
  <c r="H26" i="5"/>
  <c r="H21" i="5"/>
  <c r="H22" i="13"/>
  <c r="H20" i="13"/>
  <c r="G26" i="5" l="1"/>
  <c r="G21" i="5"/>
  <c r="G41" i="5"/>
  <c r="G26" i="6"/>
  <c r="G21" i="6"/>
  <c r="G23" i="6"/>
  <c r="G21" i="12" l="1"/>
  <c r="G19" i="12"/>
  <c r="G26" i="12"/>
  <c r="G41" i="12"/>
  <c r="G24" i="12"/>
  <c r="G20" i="12"/>
  <c r="G13" i="12"/>
  <c r="G20" i="13" l="1"/>
  <c r="G22" i="13"/>
  <c r="F22" i="13" l="1"/>
  <c r="F20" i="13"/>
  <c r="F26" i="6"/>
  <c r="F41" i="6"/>
  <c r="F38" i="6"/>
  <c r="F36" i="6"/>
  <c r="F21" i="6"/>
  <c r="F21" i="20"/>
  <c r="F14" i="20"/>
  <c r="F26" i="5"/>
  <c r="F21" i="5"/>
  <c r="F38" i="5"/>
  <c r="F36" i="5"/>
  <c r="F21" i="12" l="1"/>
  <c r="F19" i="12"/>
  <c r="F26" i="12"/>
  <c r="F41" i="12"/>
  <c r="F38" i="12"/>
  <c r="F24" i="12"/>
  <c r="F20" i="12"/>
  <c r="F13" i="12"/>
  <c r="O45" i="18"/>
  <c r="O45" i="16"/>
  <c r="E21" i="5" l="1"/>
  <c r="E15" i="5"/>
  <c r="E22" i="13" l="1"/>
  <c r="E20" i="13"/>
  <c r="E21" i="13"/>
  <c r="D22" i="13" l="1"/>
  <c r="D20" i="13"/>
  <c r="D21" i="6"/>
  <c r="D32" i="5"/>
  <c r="D26" i="5"/>
  <c r="D21" i="5"/>
  <c r="D19" i="5"/>
  <c r="D19" i="12"/>
  <c r="D26" i="12"/>
  <c r="D41" i="12"/>
  <c r="D24" i="12"/>
  <c r="D21" i="12"/>
  <c r="D20" i="12"/>
  <c r="D15" i="12"/>
  <c r="D13" i="12"/>
  <c r="D6" i="12"/>
  <c r="C22" i="13"/>
  <c r="C20" i="13"/>
  <c r="C21" i="6"/>
  <c r="C21" i="20" l="1"/>
  <c r="C14" i="20"/>
  <c r="N45" i="10"/>
  <c r="M45" i="10"/>
  <c r="L45" i="10"/>
  <c r="K45" i="10"/>
  <c r="J45" i="10"/>
  <c r="I45" i="10"/>
  <c r="H45" i="10"/>
  <c r="G45" i="10"/>
  <c r="F45" i="10"/>
  <c r="E45" i="10"/>
  <c r="D45" i="10"/>
  <c r="C45" i="10"/>
  <c r="C26" i="5"/>
  <c r="C21" i="5"/>
  <c r="C21" i="12"/>
  <c r="C19" i="12"/>
  <c r="C26" i="12"/>
  <c r="C41" i="12"/>
  <c r="C24" i="12"/>
  <c r="C20" i="12"/>
  <c r="C15" i="12"/>
  <c r="C13" i="12"/>
  <c r="N13" i="19"/>
  <c r="F45" i="13" l="1"/>
  <c r="F47" i="13" s="1"/>
  <c r="E22" i="19" s="1"/>
  <c r="N4" i="19" l="1"/>
  <c r="J44" i="5" l="1"/>
  <c r="N12" i="19"/>
  <c r="I36" i="19" l="1"/>
  <c r="I37" i="19" s="1"/>
  <c r="O46" i="13"/>
  <c r="O45" i="12"/>
  <c r="N44" i="18" l="1"/>
  <c r="N46" i="18" s="1"/>
  <c r="M44" i="18"/>
  <c r="M46" i="18" s="1"/>
  <c r="L44" i="18"/>
  <c r="L46" i="18" s="1"/>
  <c r="K44" i="18"/>
  <c r="K46" i="18" s="1"/>
  <c r="J44" i="18"/>
  <c r="J46" i="18" s="1"/>
  <c r="I44" i="18"/>
  <c r="I46" i="18" s="1"/>
  <c r="H44" i="18"/>
  <c r="H46" i="18" s="1"/>
  <c r="G44" i="18"/>
  <c r="G46" i="18" s="1"/>
  <c r="F44" i="18"/>
  <c r="F46" i="18" s="1"/>
  <c r="E44" i="18"/>
  <c r="E46" i="18" s="1"/>
  <c r="D44" i="18"/>
  <c r="D46" i="18" s="1"/>
  <c r="C44" i="18"/>
  <c r="C46" i="18" s="1"/>
  <c r="O36" i="18"/>
  <c r="O26" i="18"/>
  <c r="O4" i="18"/>
  <c r="N44" i="16"/>
  <c r="N46" i="16" s="1"/>
  <c r="M44" i="16"/>
  <c r="M46" i="16" s="1"/>
  <c r="L44" i="16"/>
  <c r="L46" i="16" s="1"/>
  <c r="K44" i="16"/>
  <c r="K46" i="16" s="1"/>
  <c r="J44" i="16"/>
  <c r="J46" i="16" s="1"/>
  <c r="I44" i="16"/>
  <c r="I46" i="16" s="1"/>
  <c r="H44" i="16"/>
  <c r="H46" i="16" s="1"/>
  <c r="G44" i="16"/>
  <c r="G46" i="16" s="1"/>
  <c r="F44" i="16"/>
  <c r="F46" i="16" s="1"/>
  <c r="E44" i="16"/>
  <c r="E46" i="16" s="1"/>
  <c r="D44" i="16"/>
  <c r="D46" i="16" s="1"/>
  <c r="C44" i="16"/>
  <c r="C46" i="16" s="1"/>
  <c r="O39" i="16"/>
  <c r="O32" i="16"/>
  <c r="O4" i="16"/>
  <c r="O45" i="5"/>
  <c r="N44" i="5"/>
  <c r="M36" i="19" s="1"/>
  <c r="M44" i="5"/>
  <c r="L36" i="19" s="1"/>
  <c r="L44" i="5"/>
  <c r="K36" i="19" s="1"/>
  <c r="K44" i="5"/>
  <c r="J36" i="19" s="1"/>
  <c r="I44" i="5"/>
  <c r="H36" i="19" s="1"/>
  <c r="H44" i="5"/>
  <c r="G36" i="19" s="1"/>
  <c r="G44" i="5"/>
  <c r="F36" i="19" s="1"/>
  <c r="F44" i="5"/>
  <c r="E36" i="19" s="1"/>
  <c r="E44" i="5"/>
  <c r="D36" i="19" s="1"/>
  <c r="D44" i="5"/>
  <c r="C36" i="19" s="1"/>
  <c r="O43" i="5"/>
  <c r="O41" i="5"/>
  <c r="O38" i="5"/>
  <c r="O36" i="5"/>
  <c r="O33" i="5"/>
  <c r="O32" i="5"/>
  <c r="O31" i="5"/>
  <c r="O29" i="5"/>
  <c r="O28" i="5"/>
  <c r="O26" i="5"/>
  <c r="O23" i="5"/>
  <c r="O21" i="5"/>
  <c r="O19" i="5"/>
  <c r="O15" i="5"/>
  <c r="O10" i="5"/>
  <c r="O9" i="5"/>
  <c r="O7" i="5"/>
  <c r="O4" i="5"/>
  <c r="O45" i="6"/>
  <c r="N44" i="6"/>
  <c r="M44" i="6"/>
  <c r="L44" i="6"/>
  <c r="K44" i="6"/>
  <c r="J44" i="6"/>
  <c r="I44" i="6"/>
  <c r="H44" i="6"/>
  <c r="G29" i="19" s="1"/>
  <c r="G44" i="6"/>
  <c r="F44" i="6"/>
  <c r="E44" i="6"/>
  <c r="D29" i="19" s="1"/>
  <c r="D44" i="6"/>
  <c r="C29" i="19" s="1"/>
  <c r="O43" i="6"/>
  <c r="O41" i="6"/>
  <c r="O38" i="6"/>
  <c r="O36" i="6"/>
  <c r="O35" i="6"/>
  <c r="O33" i="6"/>
  <c r="O32" i="6"/>
  <c r="O31" i="6"/>
  <c r="O29" i="6"/>
  <c r="O28" i="6"/>
  <c r="O26" i="6"/>
  <c r="O24" i="6"/>
  <c r="O23" i="6"/>
  <c r="O21" i="6"/>
  <c r="O19" i="6"/>
  <c r="O10" i="6"/>
  <c r="O9" i="6"/>
  <c r="O7" i="6"/>
  <c r="C44" i="6"/>
  <c r="B29" i="19" s="1"/>
  <c r="O48" i="13"/>
  <c r="N45" i="13"/>
  <c r="N47" i="13" s="1"/>
  <c r="M22" i="19" s="1"/>
  <c r="M45" i="13"/>
  <c r="M47" i="13" s="1"/>
  <c r="L22" i="19" s="1"/>
  <c r="L45" i="13"/>
  <c r="L47" i="13" s="1"/>
  <c r="K22" i="19" s="1"/>
  <c r="K45" i="13"/>
  <c r="K47" i="13" s="1"/>
  <c r="J22" i="19" s="1"/>
  <c r="J45" i="13"/>
  <c r="J47" i="13" s="1"/>
  <c r="I22" i="19" s="1"/>
  <c r="I45" i="13"/>
  <c r="I47" i="13" s="1"/>
  <c r="H22" i="19" s="1"/>
  <c r="H45" i="13"/>
  <c r="H47" i="13" s="1"/>
  <c r="G22" i="19" s="1"/>
  <c r="G45" i="13"/>
  <c r="G47" i="13" s="1"/>
  <c r="F22" i="19" s="1"/>
  <c r="E23" i="19"/>
  <c r="E45" i="13"/>
  <c r="E47" i="13" s="1"/>
  <c r="D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C45" i="13"/>
  <c r="C47" i="13" s="1"/>
  <c r="O14" i="13"/>
  <c r="O13" i="13"/>
  <c r="O12" i="13"/>
  <c r="O11" i="13"/>
  <c r="O10" i="13"/>
  <c r="O9" i="13"/>
  <c r="O8" i="13"/>
  <c r="O7" i="13"/>
  <c r="O6" i="13"/>
  <c r="O5" i="13"/>
  <c r="O47" i="12"/>
  <c r="N44" i="12"/>
  <c r="N46" i="12" s="1"/>
  <c r="M44" i="12"/>
  <c r="M46" i="12" s="1"/>
  <c r="L44" i="12"/>
  <c r="L46" i="12" s="1"/>
  <c r="K44" i="12"/>
  <c r="K46" i="12" s="1"/>
  <c r="J44" i="12"/>
  <c r="J46" i="12" s="1"/>
  <c r="I44" i="12"/>
  <c r="I46" i="12" s="1"/>
  <c r="H44" i="12"/>
  <c r="H46" i="12" s="1"/>
  <c r="G44" i="12"/>
  <c r="G46" i="12" s="1"/>
  <c r="F44" i="12"/>
  <c r="F46" i="12" s="1"/>
  <c r="E15" i="19" s="1"/>
  <c r="E44" i="12"/>
  <c r="E46" i="12" s="1"/>
  <c r="D15" i="19" s="1"/>
  <c r="D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46" i="20"/>
  <c r="N45" i="20"/>
  <c r="M45" i="20"/>
  <c r="L8" i="19" s="1"/>
  <c r="L45" i="20"/>
  <c r="K8" i="19" s="1"/>
  <c r="K45" i="20"/>
  <c r="J8" i="19" s="1"/>
  <c r="J45" i="20"/>
  <c r="I8" i="19" s="1"/>
  <c r="I45" i="20"/>
  <c r="H8" i="19" s="1"/>
  <c r="H45" i="20"/>
  <c r="G8" i="19" s="1"/>
  <c r="G45" i="20"/>
  <c r="F8" i="19" s="1"/>
  <c r="F45" i="20"/>
  <c r="E45" i="20"/>
  <c r="D8" i="19" s="1"/>
  <c r="D45" i="20"/>
  <c r="C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6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N33" i="19"/>
  <c r="N32" i="19"/>
  <c r="N26" i="19"/>
  <c r="N25" i="19"/>
  <c r="N19" i="19"/>
  <c r="N18" i="19"/>
  <c r="N11" i="19"/>
  <c r="N5" i="19"/>
  <c r="M15" i="19" l="1"/>
  <c r="M16" i="19" s="1"/>
  <c r="J29" i="19"/>
  <c r="J30" i="19" s="1"/>
  <c r="C47" i="20"/>
  <c r="B8" i="19"/>
  <c r="F15" i="19"/>
  <c r="F16" i="19" s="1"/>
  <c r="K29" i="19"/>
  <c r="K30" i="19" s="1"/>
  <c r="G15" i="19"/>
  <c r="G16" i="19" s="1"/>
  <c r="L29" i="19"/>
  <c r="L30" i="19" s="1"/>
  <c r="H15" i="19"/>
  <c r="H16" i="19" s="1"/>
  <c r="E29" i="19"/>
  <c r="E30" i="19" s="1"/>
  <c r="M29" i="19"/>
  <c r="M30" i="19" s="1"/>
  <c r="K15" i="19"/>
  <c r="K16" i="19" s="1"/>
  <c r="L15" i="19"/>
  <c r="L16" i="19" s="1"/>
  <c r="F47" i="20"/>
  <c r="E8" i="19"/>
  <c r="E9" i="19" s="1"/>
  <c r="N47" i="20"/>
  <c r="M8" i="19"/>
  <c r="M9" i="19" s="1"/>
  <c r="I15" i="19"/>
  <c r="I16" i="19" s="1"/>
  <c r="B22" i="19"/>
  <c r="B23" i="19" s="1"/>
  <c r="F29" i="19"/>
  <c r="F30" i="19" s="1"/>
  <c r="J15" i="19"/>
  <c r="J16" i="19" s="1"/>
  <c r="H29" i="19"/>
  <c r="H30" i="19" s="1"/>
  <c r="I29" i="19"/>
  <c r="I30" i="19" s="1"/>
  <c r="D22" i="19"/>
  <c r="D23" i="19" s="1"/>
  <c r="D47" i="20"/>
  <c r="C8" i="19"/>
  <c r="M47" i="20"/>
  <c r="J9" i="19"/>
  <c r="G30" i="19"/>
  <c r="H9" i="19"/>
  <c r="L9" i="19"/>
  <c r="F9" i="19"/>
  <c r="H37" i="19"/>
  <c r="L37" i="19"/>
  <c r="G37" i="19"/>
  <c r="K37" i="19"/>
  <c r="F37" i="19"/>
  <c r="J37" i="19"/>
  <c r="M37" i="19"/>
  <c r="C46" i="6"/>
  <c r="B30" i="19"/>
  <c r="I23" i="19"/>
  <c r="M23" i="19"/>
  <c r="H23" i="19"/>
  <c r="L23" i="19"/>
  <c r="G23" i="19"/>
  <c r="K23" i="19"/>
  <c r="F23" i="19"/>
  <c r="J23" i="19"/>
  <c r="G9" i="19"/>
  <c r="L47" i="10"/>
  <c r="K9" i="19"/>
  <c r="I9" i="19"/>
  <c r="E37" i="19"/>
  <c r="E16" i="19"/>
  <c r="E46" i="6"/>
  <c r="D30" i="19"/>
  <c r="E47" i="10"/>
  <c r="D9" i="19"/>
  <c r="E46" i="5"/>
  <c r="D37" i="19"/>
  <c r="E48" i="12"/>
  <c r="D16" i="19"/>
  <c r="D46" i="6"/>
  <c r="C30" i="19"/>
  <c r="D47" i="10"/>
  <c r="D46" i="5"/>
  <c r="C37" i="19"/>
  <c r="M46" i="5"/>
  <c r="J47" i="20"/>
  <c r="I47" i="20"/>
  <c r="H47" i="20"/>
  <c r="L47" i="20"/>
  <c r="K47" i="20"/>
  <c r="H47" i="10"/>
  <c r="M47" i="10"/>
  <c r="L48" i="12"/>
  <c r="O15" i="13"/>
  <c r="O45" i="13" s="1"/>
  <c r="O49" i="13" s="1"/>
  <c r="O4" i="6"/>
  <c r="N46" i="6"/>
  <c r="N47" i="10"/>
  <c r="I48" i="12"/>
  <c r="M48" i="12"/>
  <c r="I49" i="13"/>
  <c r="M49" i="13"/>
  <c r="C44" i="5"/>
  <c r="B36" i="19" s="1"/>
  <c r="N36" i="19" s="1"/>
  <c r="J46" i="5"/>
  <c r="N46" i="5"/>
  <c r="O44" i="18"/>
  <c r="O46" i="18" s="1"/>
  <c r="K48" i="12"/>
  <c r="K49" i="13"/>
  <c r="I47" i="10"/>
  <c r="C44" i="12"/>
  <c r="C46" i="12" s="1"/>
  <c r="B15" i="19" s="1"/>
  <c r="H48" i="12"/>
  <c r="D49" i="13"/>
  <c r="D47" i="13"/>
  <c r="H49" i="13"/>
  <c r="L49" i="13"/>
  <c r="I46" i="5"/>
  <c r="J47" i="10"/>
  <c r="K47" i="10"/>
  <c r="J48" i="12"/>
  <c r="N48" i="12"/>
  <c r="J49" i="13"/>
  <c r="N49" i="13"/>
  <c r="K46" i="5"/>
  <c r="H46" i="5"/>
  <c r="L46" i="5"/>
  <c r="G47" i="20"/>
  <c r="G49" i="13"/>
  <c r="G47" i="10"/>
  <c r="G46" i="5"/>
  <c r="G48" i="12"/>
  <c r="F49" i="13"/>
  <c r="F46" i="6"/>
  <c r="J46" i="6"/>
  <c r="G46" i="6"/>
  <c r="I46" i="6"/>
  <c r="M46" i="6"/>
  <c r="H46" i="6"/>
  <c r="L46" i="6"/>
  <c r="K46" i="6"/>
  <c r="F47" i="10"/>
  <c r="N34" i="19"/>
  <c r="F46" i="5"/>
  <c r="F48" i="12"/>
  <c r="O44" i="12"/>
  <c r="E49" i="13"/>
  <c r="C49" i="13"/>
  <c r="D46" i="12"/>
  <c r="E47" i="20"/>
  <c r="O44" i="16"/>
  <c r="O46" i="16" s="1"/>
  <c r="O44" i="6"/>
  <c r="O46" i="6" s="1"/>
  <c r="O45" i="10"/>
  <c r="O47" i="10" s="1"/>
  <c r="O45" i="20"/>
  <c r="O47" i="20" s="1"/>
  <c r="N8" i="19" l="1"/>
  <c r="N29" i="19"/>
  <c r="C22" i="19"/>
  <c r="N22" i="19" s="1"/>
  <c r="C9" i="19"/>
  <c r="C15" i="19"/>
  <c r="N15" i="19" s="1"/>
  <c r="O47" i="13"/>
  <c r="C46" i="5"/>
  <c r="B37" i="19"/>
  <c r="C48" i="12"/>
  <c r="B16" i="19"/>
  <c r="C47" i="10"/>
  <c r="B9" i="19"/>
  <c r="N21" i="19"/>
  <c r="N28" i="19"/>
  <c r="O44" i="5"/>
  <c r="O46" i="5" s="1"/>
  <c r="N6" i="19"/>
  <c r="N20" i="19"/>
  <c r="N27" i="19"/>
  <c r="O46" i="12"/>
  <c r="O48" i="12" s="1"/>
  <c r="D48" i="12"/>
  <c r="N30" i="19" l="1"/>
  <c r="C23" i="19"/>
  <c r="N23" i="19"/>
  <c r="C16" i="19"/>
  <c r="N35" i="19"/>
  <c r="N37" i="19" s="1"/>
  <c r="N14" i="19"/>
  <c r="N16" i="19" s="1"/>
  <c r="N7" i="19"/>
  <c r="N9" i="19" s="1"/>
</calcChain>
</file>

<file path=xl/sharedStrings.xml><?xml version="1.0" encoding="utf-8"?>
<sst xmlns="http://schemas.openxmlformats.org/spreadsheetml/2006/main" count="504" uniqueCount="79">
  <si>
    <t>Bigues i Riells</t>
  </si>
  <si>
    <t>Caldes de Montbui</t>
  </si>
  <si>
    <t>Campins</t>
  </si>
  <si>
    <t>Canovelles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</si>
  <si>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</si>
  <si>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</si>
  <si>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</si>
  <si>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</si>
  <si>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</si>
  <si>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</si>
  <si>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</si>
  <si>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</si>
  <si>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</si>
  <si>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</si>
  <si>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</si>
  <si>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</si>
  <si>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</si>
  <si>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</si>
  <si>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</si>
  <si>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</si>
  <si>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Sant Celoni</t>
  </si>
  <si>
    <t>Tagamanent</t>
  </si>
  <si>
    <t>Vallgorguina</t>
  </si>
  <si>
    <t>Vallromanes</t>
  </si>
  <si>
    <t>Vilalba Sasserra</t>
  </si>
  <si>
    <t>Vilanova del Vallès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</si>
  <si>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</si>
  <si>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</si>
  <si>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</si>
  <si>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</si>
  <si>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</si>
  <si>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</si>
  <si>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</si>
  <si>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</si>
  <si>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</si>
  <si>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</si>
  <si>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</si>
  <si>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</si>
  <si>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</si>
  <si>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</si>
  <si>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Franqueses del Vallès, Les</t>
  </si>
  <si>
    <t>Garriga, La</t>
  </si>
  <si>
    <t>Llagosta, La</t>
  </si>
  <si>
    <t>Roca del Vallès, La</t>
  </si>
  <si>
    <t>Sant Antoni de Vilamajor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</si>
  <si>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</si>
  <si>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</si>
  <si>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</si>
  <si>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</si>
  <si>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</si>
  <si>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</si>
  <si>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</si>
  <si>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</si>
  <si>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Àrees d'aportació i recollida Porta a porta d'Envasos</t>
  </si>
  <si>
    <t>Àrees d'aportació i recollida Porta a porta de Vidre</t>
  </si>
  <si>
    <t>Àrees d'aportació i recollida Porta a porta de RMO</t>
  </si>
  <si>
    <t>Àrees d'aportació i recollida Porta a porta de FORM</t>
  </si>
  <si>
    <t>Població</t>
  </si>
  <si>
    <t>Increment/Decrement</t>
  </si>
  <si>
    <t>Núm.</t>
  </si>
  <si>
    <t xml:space="preserve">Núm. </t>
  </si>
  <si>
    <t>Paper/Cartró</t>
  </si>
  <si>
    <t>Envasos</t>
  </si>
  <si>
    <t>Vidre</t>
  </si>
  <si>
    <t>RMO</t>
  </si>
  <si>
    <t>FORM</t>
  </si>
  <si>
    <t>Paper i Cartró - Porta a porta, Mercat i papereres</t>
  </si>
  <si>
    <t>Àrees d'aportació i recollida complementària</t>
  </si>
  <si>
    <t>Deixalleries</t>
  </si>
  <si>
    <t>TOTAL MENSUAL 2020</t>
  </si>
  <si>
    <t>% 21-20</t>
  </si>
  <si>
    <t>TOTAL MENSUAL 2021</t>
  </si>
  <si>
    <t>PAPER I CARTRÓ - 2021</t>
  </si>
  <si>
    <t>ENVASOS - 2021</t>
  </si>
  <si>
    <t>VIDRE - 2021</t>
  </si>
  <si>
    <t>RMO - 2021</t>
  </si>
  <si>
    <t>ORGÀNICA - 2021</t>
  </si>
  <si>
    <t>VERD - 2021</t>
  </si>
  <si>
    <t>VOLUMINOSOS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</si>
</sst>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#,##0.00&quot;    &quot;;#,##0.00&quot;    &quot;;&quot;-&quot;#&quot;    &quot;;@&quot; &quot;"/>
    <numFmt numFmtId="168" formatCode="#,##0.00&quot; &quot;[$€-403];[Red]&quot;-&quot;#,##0.00&quot; &quot;[$€-403]"/>
    <numFmt numFmtId="169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8"/>
        <bgColor theme="8"/>
      </patternFill>
    </fill>
  </fills>
  <borders count="1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6">
    <xf numFmtId="0" fontId="0" fillId="0" borderId="0"/>
    <xf numFmtId="165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167" fontId="13" fillId="0" borderId="0"/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5" fillId="0" borderId="0"/>
    <xf numFmtId="0" fontId="15" fillId="0" borderId="0"/>
    <xf numFmtId="168" fontId="15" fillId="0" borderId="0"/>
    <xf numFmtId="168" fontId="15" fillId="0" borderId="0"/>
    <xf numFmtId="0" fontId="1" fillId="0" borderId="0"/>
    <xf numFmtId="165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300">
    <xf numFmtId="0" fontId="0" fillId="0" borderId="0" xfId="0"/>
    <xf numFmtId="0" fontId="5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3" fontId="4" fillId="0" borderId="18" xfId="0" applyNumberFormat="1" applyFont="1" applyBorder="1" applyAlignment="1" applyProtection="1">
      <alignment horizontal="center"/>
      <protection hidden="1"/>
    </xf>
    <xf numFmtId="3" fontId="4" fillId="0" borderId="1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3" fontId="7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0" fontId="4" fillId="0" borderId="13" xfId="0" applyFont="1" applyBorder="1" applyProtection="1"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left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left"/>
      <protection hidden="1"/>
    </xf>
    <xf numFmtId="3" fontId="7" fillId="0" borderId="18" xfId="0" applyNumberFormat="1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 applyProtection="1">
      <alignment horizontal="center"/>
      <protection hidden="1"/>
    </xf>
    <xf numFmtId="3" fontId="7" fillId="0" borderId="21" xfId="0" applyNumberFormat="1" applyFont="1" applyBorder="1" applyAlignment="1" applyProtection="1">
      <alignment horizontal="center"/>
      <protection hidden="1"/>
    </xf>
    <xf numFmtId="3" fontId="7" fillId="0" borderId="30" xfId="0" applyNumberFormat="1" applyFont="1" applyBorder="1" applyAlignment="1" applyProtection="1">
      <alignment horizontal="center"/>
      <protection hidden="1"/>
    </xf>
    <xf numFmtId="3" fontId="0" fillId="0" borderId="34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3" fontId="7" fillId="0" borderId="36" xfId="0" applyNumberFormat="1" applyFont="1" applyBorder="1" applyAlignment="1" applyProtection="1">
      <alignment horizontal="center"/>
      <protection hidden="1"/>
    </xf>
    <xf numFmtId="3" fontId="4" fillId="0" borderId="26" xfId="0" applyNumberFormat="1" applyFont="1" applyBorder="1" applyAlignment="1" applyProtection="1">
      <alignment horizontal="center"/>
      <protection hidden="1"/>
    </xf>
    <xf numFmtId="3" fontId="7" fillId="0" borderId="37" xfId="0" applyNumberFormat="1" applyFont="1" applyBorder="1" applyAlignment="1" applyProtection="1">
      <alignment horizontal="center"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3" fontId="7" fillId="0" borderId="39" xfId="0" applyNumberFormat="1" applyFont="1" applyBorder="1" applyAlignment="1" applyProtection="1">
      <alignment horizontal="center"/>
      <protection hidden="1"/>
    </xf>
    <xf numFmtId="3" fontId="4" fillId="0" borderId="25" xfId="0" applyNumberFormat="1" applyFont="1" applyBorder="1" applyAlignment="1" applyProtection="1">
      <alignment horizontal="center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7" fillId="0" borderId="40" xfId="0" applyNumberFormat="1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7" fillId="0" borderId="39" xfId="0" applyFont="1" applyBorder="1" applyAlignment="1" applyProtection="1">
      <alignment horizontal="left"/>
      <protection hidden="1"/>
    </xf>
    <xf numFmtId="0" fontId="4" fillId="0" borderId="39" xfId="0" applyFont="1" applyBorder="1" applyProtection="1"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48" xfId="0" applyNumberFormat="1" applyBorder="1" applyAlignment="1" applyProtection="1">
      <alignment horizontal="center"/>
      <protection hidden="1"/>
    </xf>
    <xf numFmtId="3" fontId="0" fillId="0" borderId="49" xfId="0" applyNumberFormat="1" applyBorder="1" applyAlignment="1" applyProtection="1">
      <alignment horizontal="center"/>
      <protection hidden="1"/>
    </xf>
    <xf numFmtId="3" fontId="0" fillId="0" borderId="50" xfId="0" applyNumberFormat="1" applyBorder="1" applyAlignment="1" applyProtection="1">
      <alignment horizontal="center"/>
      <protection hidden="1"/>
    </xf>
    <xf numFmtId="3" fontId="0" fillId="0" borderId="51" xfId="0" applyNumberFormat="1" applyBorder="1" applyAlignment="1" applyProtection="1">
      <alignment horizontal="center"/>
      <protection hidden="1"/>
    </xf>
    <xf numFmtId="0" fontId="11" fillId="0" borderId="0" xfId="0" applyFont="1"/>
    <xf numFmtId="0" fontId="12" fillId="0" borderId="0" xfId="0" applyFont="1"/>
    <xf numFmtId="3" fontId="0" fillId="0" borderId="0" xfId="0" applyNumberFormat="1" applyAlignment="1">
      <alignment horizontal="center"/>
    </xf>
    <xf numFmtId="3" fontId="12" fillId="0" borderId="0" xfId="0" applyNumberFormat="1" applyFont="1" applyAlignment="1">
      <alignment horizontal="center"/>
    </xf>
    <xf numFmtId="2" fontId="0" fillId="0" borderId="0" xfId="0" applyNumberFormat="1"/>
    <xf numFmtId="0" fontId="11" fillId="0" borderId="0" xfId="12" applyFont="1"/>
    <xf numFmtId="0" fontId="13" fillId="0" borderId="0" xfId="12"/>
    <xf numFmtId="0" fontId="12" fillId="0" borderId="0" xfId="12" applyFont="1"/>
    <xf numFmtId="2" fontId="13" fillId="0" borderId="0" xfId="12" applyNumberFormat="1"/>
    <xf numFmtId="3" fontId="13" fillId="0" borderId="0" xfId="12" applyNumberFormat="1" applyAlignment="1">
      <alignment horizontal="center"/>
    </xf>
    <xf numFmtId="3" fontId="12" fillId="0" borderId="0" xfId="12" applyNumberFormat="1" applyFont="1" applyAlignment="1">
      <alignment horizontal="center"/>
    </xf>
    <xf numFmtId="3" fontId="0" fillId="0" borderId="53" xfId="0" applyNumberFormat="1" applyBorder="1" applyAlignment="1" applyProtection="1">
      <alignment horizontal="center"/>
      <protection hidden="1"/>
    </xf>
    <xf numFmtId="3" fontId="0" fillId="0" borderId="54" xfId="0" applyNumberFormat="1" applyBorder="1" applyAlignment="1" applyProtection="1">
      <alignment horizontal="center"/>
      <protection hidden="1"/>
    </xf>
    <xf numFmtId="3" fontId="0" fillId="0" borderId="55" xfId="0" applyNumberFormat="1" applyBorder="1" applyAlignment="1" applyProtection="1">
      <alignment horizontal="center"/>
      <protection hidden="1"/>
    </xf>
    <xf numFmtId="0" fontId="7" fillId="0" borderId="57" xfId="0" applyFont="1" applyBorder="1" applyAlignment="1">
      <alignment horizontal="left"/>
    </xf>
    <xf numFmtId="3" fontId="7" fillId="0" borderId="58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0" fontId="4" fillId="2" borderId="39" xfId="0" applyFont="1" applyFill="1" applyBorder="1"/>
    <xf numFmtId="3" fontId="4" fillId="2" borderId="58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/>
    </xf>
    <xf numFmtId="3" fontId="8" fillId="0" borderId="60" xfId="0" applyNumberFormat="1" applyFont="1" applyBorder="1" applyAlignment="1">
      <alignment horizontal="center"/>
    </xf>
    <xf numFmtId="0" fontId="4" fillId="0" borderId="56" xfId="0" applyFont="1" applyBorder="1" applyAlignment="1" applyProtection="1">
      <alignment horizontal="left"/>
      <protection hidden="1"/>
    </xf>
    <xf numFmtId="9" fontId="0" fillId="0" borderId="0" xfId="11" applyFont="1" applyAlignment="1" applyProtection="1">
      <alignment horizontal="center"/>
      <protection hidden="1"/>
    </xf>
    <xf numFmtId="169" fontId="16" fillId="0" borderId="23" xfId="11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/>
      <protection hidden="1"/>
    </xf>
    <xf numFmtId="169" fontId="16" fillId="0" borderId="61" xfId="11" applyNumberFormat="1" applyFont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left"/>
    </xf>
    <xf numFmtId="169" fontId="16" fillId="4" borderId="62" xfId="11" applyNumberFormat="1" applyFont="1" applyFill="1" applyBorder="1" applyAlignment="1">
      <alignment horizontal="center"/>
    </xf>
    <xf numFmtId="0" fontId="17" fillId="0" borderId="13" xfId="0" applyFont="1" applyBorder="1" applyAlignment="1" applyProtection="1">
      <alignment horizontal="left"/>
      <protection hidden="1"/>
    </xf>
    <xf numFmtId="3" fontId="0" fillId="0" borderId="64" xfId="0" applyNumberFormat="1" applyBorder="1" applyAlignment="1" applyProtection="1">
      <alignment horizontal="center"/>
      <protection hidden="1"/>
    </xf>
    <xf numFmtId="3" fontId="4" fillId="0" borderId="32" xfId="0" applyNumberFormat="1" applyFont="1" applyBorder="1" applyAlignment="1" applyProtection="1">
      <alignment horizontal="center"/>
      <protection hidden="1"/>
    </xf>
    <xf numFmtId="3" fontId="0" fillId="0" borderId="65" xfId="0" applyNumberFormat="1" applyBorder="1" applyAlignment="1" applyProtection="1">
      <alignment horizontal="center"/>
      <protection hidden="1"/>
    </xf>
    <xf numFmtId="3" fontId="0" fillId="0" borderId="66" xfId="0" applyNumberFormat="1" applyBorder="1" applyAlignment="1" applyProtection="1">
      <alignment horizontal="center"/>
      <protection hidden="1"/>
    </xf>
    <xf numFmtId="3" fontId="0" fillId="0" borderId="67" xfId="0" applyNumberForma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0" fillId="0" borderId="68" xfId="0" applyBorder="1" applyAlignment="1" applyProtection="1">
      <alignment horizontal="left"/>
      <protection hidden="1"/>
    </xf>
    <xf numFmtId="0" fontId="0" fillId="0" borderId="69" xfId="0" applyBorder="1" applyAlignment="1" applyProtection="1">
      <alignment horizontal="left"/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left"/>
      <protection hidden="1"/>
    </xf>
    <xf numFmtId="3" fontId="0" fillId="0" borderId="52" xfId="0" applyNumberFormat="1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left"/>
      <protection hidden="1"/>
    </xf>
    <xf numFmtId="0" fontId="0" fillId="0" borderId="73" xfId="0" applyBorder="1" applyAlignment="1" applyProtection="1">
      <alignment horizontal="left"/>
      <protection hidden="1"/>
    </xf>
    <xf numFmtId="3" fontId="4" fillId="0" borderId="56" xfId="0" applyNumberFormat="1" applyFon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/>
      <protection hidden="1"/>
    </xf>
    <xf numFmtId="3" fontId="6" fillId="0" borderId="67" xfId="0" applyNumberFormat="1" applyFont="1" applyBorder="1" applyAlignment="1" applyProtection="1">
      <alignment horizontal="center"/>
      <protection hidden="1"/>
    </xf>
    <xf numFmtId="3" fontId="13" fillId="0" borderId="60" xfId="0" applyNumberFormat="1" applyFont="1" applyBorder="1" applyAlignment="1">
      <alignment horizontal="center"/>
    </xf>
    <xf numFmtId="3" fontId="3" fillId="0" borderId="27" xfId="0" applyNumberFormat="1" applyFont="1" applyBorder="1" applyAlignment="1" applyProtection="1">
      <alignment horizontal="center"/>
      <protection hidden="1"/>
    </xf>
    <xf numFmtId="3" fontId="3" fillId="0" borderId="4" xfId="0" applyNumberFormat="1" applyFont="1" applyBorder="1" applyAlignment="1" applyProtection="1">
      <alignment horizontal="center"/>
      <protection hidden="1"/>
    </xf>
    <xf numFmtId="3" fontId="3" fillId="0" borderId="41" xfId="0" applyNumberFormat="1" applyFont="1" applyBorder="1" applyAlignment="1" applyProtection="1">
      <alignment horizontal="center"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3" fontId="3" fillId="0" borderId="6" xfId="0" applyNumberFormat="1" applyFont="1" applyBorder="1" applyAlignment="1" applyProtection="1">
      <alignment horizontal="center"/>
      <protection hidden="1"/>
    </xf>
    <xf numFmtId="3" fontId="3" fillId="0" borderId="7" xfId="0" applyNumberFormat="1" applyFont="1" applyBorder="1" applyAlignment="1" applyProtection="1">
      <alignment horizontal="center"/>
      <protection hidden="1"/>
    </xf>
    <xf numFmtId="3" fontId="3" fillId="0" borderId="17" xfId="0" applyNumberFormat="1" applyFont="1" applyBorder="1" applyAlignment="1" applyProtection="1">
      <alignment horizontal="center"/>
      <protection hidden="1"/>
    </xf>
    <xf numFmtId="3" fontId="3" fillId="0" borderId="8" xfId="0" applyNumberFormat="1" applyFont="1" applyBorder="1" applyAlignment="1" applyProtection="1">
      <alignment horizontal="center"/>
      <protection hidden="1"/>
    </xf>
    <xf numFmtId="3" fontId="3" fillId="0" borderId="9" xfId="0" applyNumberFormat="1" applyFont="1" applyBorder="1" applyAlignment="1" applyProtection="1">
      <alignment horizontal="center"/>
      <protection hidden="1"/>
    </xf>
    <xf numFmtId="3" fontId="12" fillId="0" borderId="39" xfId="0" applyNumberFormat="1" applyFont="1" applyBorder="1" applyAlignment="1">
      <alignment horizontal="center"/>
    </xf>
    <xf numFmtId="3" fontId="12" fillId="0" borderId="75" xfId="0" applyNumberFormat="1" applyFont="1" applyBorder="1" applyAlignment="1">
      <alignment horizontal="center"/>
    </xf>
    <xf numFmtId="3" fontId="12" fillId="0" borderId="76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0" fillId="0" borderId="13" xfId="0" applyBorder="1"/>
    <xf numFmtId="3" fontId="12" fillId="0" borderId="77" xfId="0" applyNumberFormat="1" applyFont="1" applyBorder="1" applyAlignment="1">
      <alignment horizontal="center"/>
    </xf>
    <xf numFmtId="0" fontId="13" fillId="0" borderId="56" xfId="12" applyBorder="1"/>
    <xf numFmtId="3" fontId="12" fillId="0" borderId="56" xfId="12" applyNumberFormat="1" applyFont="1" applyBorder="1" applyAlignment="1">
      <alignment horizontal="center"/>
    </xf>
    <xf numFmtId="0" fontId="12" fillId="0" borderId="13" xfId="12" applyFont="1" applyBorder="1"/>
    <xf numFmtId="3" fontId="12" fillId="0" borderId="74" xfId="12" applyNumberFormat="1" applyFont="1" applyBorder="1" applyAlignment="1">
      <alignment horizontal="center"/>
    </xf>
    <xf numFmtId="3" fontId="12" fillId="0" borderId="75" xfId="12" applyNumberFormat="1" applyFont="1" applyBorder="1" applyAlignment="1">
      <alignment horizontal="center"/>
    </xf>
    <xf numFmtId="3" fontId="12" fillId="0" borderId="13" xfId="12" applyNumberFormat="1" applyFont="1" applyBorder="1" applyAlignment="1">
      <alignment horizontal="center"/>
    </xf>
    <xf numFmtId="169" fontId="17" fillId="0" borderId="10" xfId="11" applyNumberFormat="1" applyFont="1" applyFill="1" applyBorder="1" applyAlignment="1" applyProtection="1">
      <alignment horizontal="center"/>
      <protection hidden="1"/>
    </xf>
    <xf numFmtId="169" fontId="17" fillId="0" borderId="11" xfId="11" applyNumberFormat="1" applyFont="1" applyFill="1" applyBorder="1" applyAlignment="1" applyProtection="1">
      <alignment horizontal="center"/>
      <protection hidden="1"/>
    </xf>
    <xf numFmtId="3" fontId="4" fillId="0" borderId="27" xfId="0" applyNumberFormat="1" applyFont="1" applyBorder="1" applyAlignment="1" applyProtection="1">
      <alignment horizontal="center"/>
      <protection hidden="1"/>
    </xf>
    <xf numFmtId="3" fontId="4" fillId="0" borderId="28" xfId="0" applyNumberFormat="1" applyFont="1" applyBorder="1" applyAlignment="1" applyProtection="1">
      <alignment horizontal="center"/>
      <protection hidden="1"/>
    </xf>
    <xf numFmtId="3" fontId="4" fillId="0" borderId="29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0" fontId="10" fillId="3" borderId="78" xfId="0" applyFont="1" applyFill="1" applyBorder="1"/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3" fontId="10" fillId="3" borderId="78" xfId="0" applyNumberFormat="1" applyFont="1" applyFill="1" applyBorder="1" applyAlignment="1" applyProtection="1">
      <alignment horizontal="center"/>
      <protection hidden="1"/>
    </xf>
    <xf numFmtId="3" fontId="13" fillId="0" borderId="81" xfId="0" applyNumberFormat="1" applyFont="1" applyBorder="1" applyAlignment="1" applyProtection="1">
      <alignment horizontal="center"/>
      <protection hidden="1"/>
    </xf>
    <xf numFmtId="3" fontId="13" fillId="0" borderId="79" xfId="0" applyNumberFormat="1" applyFont="1" applyBorder="1" applyAlignment="1" applyProtection="1">
      <alignment horizontal="center"/>
      <protection hidden="1"/>
    </xf>
    <xf numFmtId="3" fontId="13" fillId="0" borderId="80" xfId="0" applyNumberFormat="1" applyFont="1" applyBorder="1" applyAlignment="1" applyProtection="1">
      <alignment horizontal="center"/>
      <protection hidden="1"/>
    </xf>
    <xf numFmtId="3" fontId="10" fillId="3" borderId="83" xfId="0" applyNumberFormat="1" applyFont="1" applyFill="1" applyBorder="1" applyAlignment="1">
      <alignment horizontal="center"/>
    </xf>
    <xf numFmtId="3" fontId="10" fillId="3" borderId="84" xfId="0" applyNumberFormat="1" applyFont="1" applyFill="1" applyBorder="1" applyAlignment="1">
      <alignment horizontal="center"/>
    </xf>
    <xf numFmtId="3" fontId="10" fillId="3" borderId="85" xfId="0" applyNumberFormat="1" applyFont="1" applyFill="1" applyBorder="1" applyAlignment="1">
      <alignment horizontal="center"/>
    </xf>
    <xf numFmtId="3" fontId="4" fillId="0" borderId="86" xfId="0" applyNumberFormat="1" applyFont="1" applyBorder="1" applyAlignment="1">
      <alignment horizontal="center"/>
    </xf>
    <xf numFmtId="3" fontId="4" fillId="0" borderId="87" xfId="0" applyNumberFormat="1" applyFont="1" applyBorder="1" applyAlignment="1">
      <alignment horizontal="center"/>
    </xf>
    <xf numFmtId="3" fontId="13" fillId="0" borderId="88" xfId="0" applyNumberFormat="1" applyFont="1" applyBorder="1" applyAlignment="1">
      <alignment horizontal="center"/>
    </xf>
    <xf numFmtId="3" fontId="13" fillId="0" borderId="89" xfId="0" applyNumberFormat="1" applyFont="1" applyBorder="1" applyAlignment="1">
      <alignment horizontal="center"/>
    </xf>
    <xf numFmtId="3" fontId="8" fillId="0" borderId="89" xfId="0" applyNumberFormat="1" applyFont="1" applyBorder="1" applyAlignment="1">
      <alignment horizontal="center"/>
    </xf>
    <xf numFmtId="3" fontId="8" fillId="0" borderId="90" xfId="0" applyNumberFormat="1" applyFont="1" applyBorder="1" applyAlignment="1">
      <alignment horizontal="center"/>
    </xf>
    <xf numFmtId="3" fontId="13" fillId="0" borderId="91" xfId="0" applyNumberFormat="1" applyFont="1" applyBorder="1" applyAlignment="1">
      <alignment horizontal="center"/>
    </xf>
    <xf numFmtId="3" fontId="8" fillId="0" borderId="92" xfId="0" applyNumberFormat="1" applyFont="1" applyBorder="1" applyAlignment="1">
      <alignment horizontal="center"/>
    </xf>
    <xf numFmtId="3" fontId="13" fillId="0" borderId="93" xfId="0" applyNumberFormat="1" applyFont="1" applyBorder="1" applyAlignment="1">
      <alignment horizontal="center"/>
    </xf>
    <xf numFmtId="3" fontId="13" fillId="0" borderId="94" xfId="0" applyNumberFormat="1" applyFont="1" applyBorder="1" applyAlignment="1">
      <alignment horizontal="center"/>
    </xf>
    <xf numFmtId="3" fontId="8" fillId="0" borderId="94" xfId="0" applyNumberFormat="1" applyFont="1" applyBorder="1" applyAlignment="1">
      <alignment horizontal="center"/>
    </xf>
    <xf numFmtId="3" fontId="8" fillId="0" borderId="95" xfId="0" applyNumberFormat="1" applyFont="1" applyBorder="1" applyAlignment="1">
      <alignment horizontal="center"/>
    </xf>
    <xf numFmtId="3" fontId="4" fillId="0" borderId="82" xfId="0" applyNumberFormat="1" applyFont="1" applyBorder="1" applyAlignment="1">
      <alignment horizontal="center"/>
    </xf>
    <xf numFmtId="3" fontId="10" fillId="3" borderId="13" xfId="0" applyNumberFormat="1" applyFont="1" applyFill="1" applyBorder="1" applyAlignment="1">
      <alignment horizontal="center"/>
    </xf>
    <xf numFmtId="3" fontId="12" fillId="0" borderId="96" xfId="0" applyNumberFormat="1" applyFont="1" applyBorder="1" applyAlignment="1">
      <alignment horizontal="center"/>
    </xf>
    <xf numFmtId="3" fontId="12" fillId="0" borderId="97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0" fontId="0" fillId="0" borderId="7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4" xfId="0" applyBorder="1" applyAlignment="1">
      <alignment horizontal="left"/>
    </xf>
    <xf numFmtId="3" fontId="13" fillId="0" borderId="98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2" fillId="0" borderId="71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64" xfId="0" applyNumberFormat="1" applyFont="1" applyBorder="1" applyAlignment="1">
      <alignment horizontal="center"/>
    </xf>
    <xf numFmtId="3" fontId="12" fillId="0" borderId="101" xfId="12" applyNumberFormat="1" applyFont="1" applyBorder="1" applyAlignment="1">
      <alignment horizontal="center"/>
    </xf>
    <xf numFmtId="3" fontId="12" fillId="0" borderId="102" xfId="12" applyNumberFormat="1" applyFont="1" applyBorder="1" applyAlignment="1">
      <alignment horizontal="center"/>
    </xf>
    <xf numFmtId="3" fontId="13" fillId="0" borderId="4" xfId="12" applyNumberFormat="1" applyBorder="1" applyAlignment="1">
      <alignment horizontal="center"/>
    </xf>
    <xf numFmtId="3" fontId="12" fillId="0" borderId="5" xfId="12" applyNumberFormat="1" applyFont="1" applyBorder="1" applyAlignment="1">
      <alignment horizontal="center"/>
    </xf>
    <xf numFmtId="3" fontId="13" fillId="0" borderId="6" xfId="12" applyNumberFormat="1" applyBorder="1" applyAlignment="1">
      <alignment horizontal="center"/>
    </xf>
    <xf numFmtId="3" fontId="12" fillId="0" borderId="7" xfId="12" applyNumberFormat="1" applyFont="1" applyBorder="1" applyAlignment="1">
      <alignment horizontal="center"/>
    </xf>
    <xf numFmtId="3" fontId="13" fillId="0" borderId="8" xfId="12" applyNumberFormat="1" applyBorder="1" applyAlignment="1">
      <alignment horizontal="center"/>
    </xf>
    <xf numFmtId="3" fontId="12" fillId="0" borderId="9" xfId="12" applyNumberFormat="1" applyFont="1" applyBorder="1" applyAlignment="1">
      <alignment horizontal="center"/>
    </xf>
    <xf numFmtId="3" fontId="12" fillId="0" borderId="30" xfId="12" applyNumberFormat="1" applyFont="1" applyBorder="1" applyAlignment="1">
      <alignment horizontal="center"/>
    </xf>
    <xf numFmtId="3" fontId="13" fillId="0" borderId="27" xfId="12" applyNumberFormat="1" applyBorder="1" applyAlignment="1">
      <alignment horizontal="center"/>
    </xf>
    <xf numFmtId="3" fontId="13" fillId="0" borderId="28" xfId="12" applyNumberFormat="1" applyBorder="1" applyAlignment="1">
      <alignment horizontal="center"/>
    </xf>
    <xf numFmtId="3" fontId="13" fillId="0" borderId="103" xfId="12" applyNumberFormat="1" applyBorder="1" applyAlignment="1">
      <alignment horizontal="center"/>
    </xf>
    <xf numFmtId="3" fontId="12" fillId="0" borderId="104" xfId="12" applyNumberFormat="1" applyFont="1" applyBorder="1" applyAlignment="1">
      <alignment horizontal="center"/>
    </xf>
    <xf numFmtId="3" fontId="13" fillId="0" borderId="41" xfId="12" applyNumberFormat="1" applyBorder="1" applyAlignment="1">
      <alignment horizontal="center"/>
    </xf>
    <xf numFmtId="3" fontId="13" fillId="0" borderId="99" xfId="12" applyNumberFormat="1" applyBorder="1" applyAlignment="1">
      <alignment horizontal="center"/>
    </xf>
    <xf numFmtId="3" fontId="13" fillId="0" borderId="100" xfId="12" applyNumberFormat="1" applyBorder="1" applyAlignment="1">
      <alignment horizontal="center"/>
    </xf>
    <xf numFmtId="0" fontId="13" fillId="0" borderId="71" xfId="12" applyBorder="1" applyAlignment="1">
      <alignment horizontal="left"/>
    </xf>
    <xf numFmtId="0" fontId="13" fillId="0" borderId="14" xfId="12" applyBorder="1" applyAlignment="1">
      <alignment horizontal="left"/>
    </xf>
    <xf numFmtId="0" fontId="13" fillId="0" borderId="64" xfId="12" applyBorder="1" applyAlignment="1">
      <alignment horizontal="left"/>
    </xf>
    <xf numFmtId="0" fontId="4" fillId="0" borderId="0" xfId="0" applyFont="1"/>
    <xf numFmtId="3" fontId="18" fillId="0" borderId="106" xfId="0" applyNumberFormat="1" applyFont="1" applyBorder="1" applyAlignment="1">
      <alignment horizontal="center"/>
    </xf>
    <xf numFmtId="3" fontId="18" fillId="0" borderId="105" xfId="0" applyNumberFormat="1" applyFont="1" applyBorder="1" applyAlignment="1">
      <alignment horizontal="center"/>
    </xf>
    <xf numFmtId="3" fontId="10" fillId="5" borderId="25" xfId="0" applyNumberFormat="1" applyFont="1" applyFill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0" fillId="0" borderId="107" xfId="0" applyNumberFormat="1" applyBorder="1" applyAlignment="1">
      <alignment horizontal="center"/>
    </xf>
    <xf numFmtId="3" fontId="13" fillId="0" borderId="107" xfId="12" applyNumberFormat="1" applyBorder="1" applyAlignment="1">
      <alignment horizontal="center"/>
    </xf>
    <xf numFmtId="3" fontId="0" fillId="0" borderId="16" xfId="0" applyNumberFormat="1" applyBorder="1" applyAlignment="1" applyProtection="1">
      <alignment horizontal="center"/>
      <protection hidden="1"/>
    </xf>
    <xf numFmtId="3" fontId="0" fillId="0" borderId="108" xfId="0" applyNumberFormat="1" applyBorder="1" applyAlignment="1">
      <alignment horizontal="center"/>
    </xf>
    <xf numFmtId="3" fontId="0" fillId="0" borderId="109" xfId="0" applyNumberFormat="1" applyBorder="1" applyAlignment="1">
      <alignment horizontal="center"/>
    </xf>
    <xf numFmtId="3" fontId="0" fillId="0" borderId="109" xfId="7" applyNumberFormat="1" applyFont="1" applyBorder="1" applyAlignment="1">
      <alignment horizontal="center"/>
    </xf>
    <xf numFmtId="3" fontId="0" fillId="0" borderId="11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6" xfId="7" applyNumberFormat="1" applyFont="1" applyBorder="1" applyAlignment="1">
      <alignment horizontal="center"/>
    </xf>
    <xf numFmtId="3" fontId="10" fillId="5" borderId="26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0" fillId="0" borderId="106" xfId="0" applyNumberFormat="1" applyBorder="1" applyAlignment="1">
      <alignment horizontal="center"/>
    </xf>
    <xf numFmtId="3" fontId="0" fillId="0" borderId="105" xfId="0" applyNumberFormat="1" applyBorder="1" applyAlignment="1">
      <alignment horizontal="center"/>
    </xf>
    <xf numFmtId="3" fontId="10" fillId="5" borderId="22" xfId="0" applyNumberFormat="1" applyFont="1" applyFill="1" applyBorder="1" applyAlignment="1">
      <alignment horizontal="center"/>
    </xf>
    <xf numFmtId="10" fontId="7" fillId="4" borderId="63" xfId="11" applyNumberFormat="1" applyFont="1" applyFill="1" applyBorder="1" applyAlignment="1">
      <alignment horizontal="center"/>
    </xf>
    <xf numFmtId="10" fontId="17" fillId="0" borderId="11" xfId="11" applyNumberFormat="1" applyFont="1" applyFill="1" applyBorder="1" applyAlignment="1" applyProtection="1">
      <alignment horizontal="center"/>
      <protection hidden="1"/>
    </xf>
    <xf numFmtId="3" fontId="4" fillId="0" borderId="38" xfId="0" applyNumberFormat="1" applyFont="1" applyBorder="1" applyAlignment="1" applyProtection="1">
      <alignment horizontal="center"/>
      <protection hidden="1"/>
    </xf>
    <xf numFmtId="3" fontId="4" fillId="0" borderId="14" xfId="0" applyNumberFormat="1" applyFont="1" applyBorder="1" applyAlignment="1" applyProtection="1">
      <alignment horizontal="center"/>
      <protection hidden="1"/>
    </xf>
    <xf numFmtId="3" fontId="4" fillId="0" borderId="15" xfId="0" applyNumberFormat="1" applyFont="1" applyBorder="1" applyAlignment="1" applyProtection="1">
      <alignment horizontal="center"/>
      <protection hidden="1"/>
    </xf>
    <xf numFmtId="3" fontId="16" fillId="0" borderId="38" xfId="0" applyNumberFormat="1" applyFont="1" applyBorder="1" applyAlignment="1" applyProtection="1">
      <alignment horizontal="center"/>
      <protection hidden="1"/>
    </xf>
    <xf numFmtId="3" fontId="16" fillId="0" borderId="14" xfId="0" applyNumberFormat="1" applyFont="1" applyBorder="1" applyAlignment="1" applyProtection="1">
      <alignment horizontal="center"/>
      <protection hidden="1"/>
    </xf>
    <xf numFmtId="3" fontId="16" fillId="0" borderId="15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3" fontId="0" fillId="0" borderId="106" xfId="0" applyNumberFormat="1" applyBorder="1" applyAlignment="1" applyProtection="1">
      <alignment horizontal="center"/>
      <protection hidden="1"/>
    </xf>
    <xf numFmtId="3" fontId="0" fillId="0" borderId="105" xfId="0" applyNumberFormat="1" applyBorder="1" applyAlignment="1" applyProtection="1">
      <alignment horizontal="center"/>
      <protection hidden="1"/>
    </xf>
    <xf numFmtId="3" fontId="18" fillId="0" borderId="106" xfId="0" applyNumberFormat="1" applyFont="1" applyBorder="1" applyAlignment="1" applyProtection="1">
      <alignment horizontal="center"/>
      <protection hidden="1"/>
    </xf>
    <xf numFmtId="3" fontId="18" fillId="0" borderId="105" xfId="0" applyNumberFormat="1" applyFont="1" applyBorder="1" applyAlignment="1" applyProtection="1">
      <alignment horizontal="center"/>
      <protection hidden="1"/>
    </xf>
    <xf numFmtId="10" fontId="4" fillId="0" borderId="0" xfId="11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6" fillId="0" borderId="105" xfId="0" applyNumberFormat="1" applyFont="1" applyBorder="1" applyAlignment="1">
      <alignment horizontal="center"/>
    </xf>
    <xf numFmtId="3" fontId="4" fillId="0" borderId="105" xfId="0" applyNumberFormat="1" applyFont="1" applyBorder="1" applyAlignment="1" applyProtection="1">
      <alignment horizontal="center"/>
      <protection hidden="1"/>
    </xf>
    <xf numFmtId="3" fontId="4" fillId="0" borderId="105" xfId="0" applyNumberFormat="1" applyFont="1" applyBorder="1" applyAlignment="1">
      <alignment horizontal="center"/>
    </xf>
    <xf numFmtId="3" fontId="16" fillId="0" borderId="105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>
      <alignment horizontal="right"/>
    </xf>
    <xf numFmtId="169" fontId="16" fillId="0" borderId="18" xfId="11" applyNumberFormat="1" applyFont="1" applyBorder="1" applyAlignment="1" applyProtection="1">
      <alignment horizontal="center"/>
      <protection hidden="1"/>
    </xf>
    <xf numFmtId="169" fontId="16" fillId="0" borderId="19" xfId="11" applyNumberFormat="1" applyFont="1" applyBorder="1" applyAlignment="1" applyProtection="1">
      <alignment horizontal="center"/>
      <protection hidden="1"/>
    </xf>
    <xf numFmtId="3" fontId="18" fillId="0" borderId="8" xfId="0" applyNumberFormat="1" applyFont="1" applyBorder="1" applyAlignment="1" applyProtection="1">
      <alignment horizontal="center"/>
      <protection hidden="1"/>
    </xf>
    <xf numFmtId="0" fontId="16" fillId="0" borderId="2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13" xfId="0" applyNumberFormat="1" applyBorder="1" applyAlignment="1">
      <alignment horizontal="center"/>
    </xf>
    <xf numFmtId="3" fontId="4" fillId="0" borderId="48" xfId="0" applyNumberFormat="1" applyFont="1" applyBorder="1" applyAlignment="1" applyProtection="1">
      <alignment horizontal="center"/>
      <protection hidden="1"/>
    </xf>
    <xf numFmtId="3" fontId="4" fillId="0" borderId="51" xfId="0" applyNumberFormat="1" applyFont="1" applyBorder="1" applyAlignment="1" applyProtection="1">
      <alignment horizontal="center"/>
      <protection hidden="1"/>
    </xf>
    <xf numFmtId="3" fontId="0" fillId="0" borderId="114" xfId="0" applyNumberFormat="1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left"/>
      <protection hidden="1"/>
    </xf>
    <xf numFmtId="3" fontId="0" fillId="0" borderId="116" xfId="0" applyNumberFormat="1" applyBorder="1" applyAlignment="1" applyProtection="1">
      <alignment horizontal="center"/>
      <protection hidden="1"/>
    </xf>
    <xf numFmtId="3" fontId="0" fillId="0" borderId="117" xfId="0" applyNumberFormat="1" applyBorder="1" applyAlignment="1" applyProtection="1">
      <alignment horizontal="center"/>
      <protection hidden="1"/>
    </xf>
    <xf numFmtId="3" fontId="4" fillId="0" borderId="111" xfId="0" applyNumberFormat="1" applyFont="1" applyBorder="1" applyAlignment="1" applyProtection="1">
      <alignment horizontal="center"/>
      <protection hidden="1"/>
    </xf>
    <xf numFmtId="3" fontId="4" fillId="0" borderId="120" xfId="0" applyNumberFormat="1" applyFont="1" applyBorder="1" applyAlignment="1" applyProtection="1">
      <alignment horizontal="center"/>
      <protection hidden="1"/>
    </xf>
    <xf numFmtId="0" fontId="4" fillId="0" borderId="121" xfId="0" applyFont="1" applyBorder="1" applyProtection="1">
      <protection hidden="1"/>
    </xf>
    <xf numFmtId="3" fontId="4" fillId="0" borderId="122" xfId="0" applyNumberFormat="1" applyFont="1" applyBorder="1" applyAlignment="1" applyProtection="1">
      <alignment horizontal="center"/>
      <protection hidden="1"/>
    </xf>
    <xf numFmtId="3" fontId="4" fillId="0" borderId="123" xfId="0" applyNumberFormat="1" applyFont="1" applyBorder="1" applyAlignment="1" applyProtection="1">
      <alignment horizontal="center"/>
      <protection hidden="1"/>
    </xf>
    <xf numFmtId="3" fontId="0" fillId="0" borderId="97" xfId="0" applyNumberFormat="1" applyBorder="1" applyAlignment="1" applyProtection="1">
      <alignment horizontal="center"/>
      <protection hidden="1"/>
    </xf>
    <xf numFmtId="0" fontId="0" fillId="0" borderId="118" xfId="0" applyBorder="1" applyAlignment="1" applyProtection="1">
      <alignment horizontal="left"/>
      <protection hidden="1"/>
    </xf>
    <xf numFmtId="3" fontId="0" fillId="0" borderId="119" xfId="0" applyNumberFormat="1" applyBorder="1" applyAlignment="1" applyProtection="1">
      <alignment horizontal="center"/>
      <protection hidden="1"/>
    </xf>
    <xf numFmtId="0" fontId="4" fillId="0" borderId="113" xfId="0" applyFont="1" applyBorder="1" applyAlignment="1" applyProtection="1">
      <alignment horizontal="left"/>
      <protection hidden="1"/>
    </xf>
    <xf numFmtId="3" fontId="0" fillId="0" borderId="124" xfId="0" applyNumberFormat="1" applyBorder="1" applyAlignment="1" applyProtection="1">
      <alignment horizontal="center"/>
      <protection hidden="1"/>
    </xf>
    <xf numFmtId="3" fontId="0" fillId="0" borderId="125" xfId="0" applyNumberFormat="1" applyBorder="1" applyAlignment="1" applyProtection="1">
      <alignment horizontal="center"/>
      <protection hidden="1"/>
    </xf>
    <xf numFmtId="3" fontId="4" fillId="0" borderId="126" xfId="0" applyNumberFormat="1" applyFont="1" applyBorder="1" applyAlignment="1" applyProtection="1">
      <alignment horizontal="center"/>
      <protection hidden="1"/>
    </xf>
    <xf numFmtId="3" fontId="0" fillId="0" borderId="118" xfId="0" applyNumberFormat="1" applyBorder="1" applyAlignment="1" applyProtection="1">
      <alignment horizontal="center"/>
      <protection hidden="1"/>
    </xf>
    <xf numFmtId="3" fontId="4" fillId="0" borderId="113" xfId="0" applyNumberFormat="1" applyFont="1" applyBorder="1" applyAlignment="1" applyProtection="1">
      <alignment horizontal="center"/>
      <protection hidden="1"/>
    </xf>
    <xf numFmtId="3" fontId="7" fillId="0" borderId="112" xfId="0" applyNumberFormat="1" applyFont="1" applyBorder="1" applyAlignment="1" applyProtection="1">
      <alignment horizontal="center"/>
      <protection hidden="1"/>
    </xf>
    <xf numFmtId="3" fontId="4" fillId="0" borderId="121" xfId="0" applyNumberFormat="1" applyFont="1" applyBorder="1" applyAlignment="1" applyProtection="1">
      <alignment horizontal="center"/>
      <protection hidden="1"/>
    </xf>
    <xf numFmtId="3" fontId="7" fillId="0" borderId="127" xfId="0" applyNumberFormat="1" applyFont="1" applyBorder="1" applyAlignment="1" applyProtection="1">
      <alignment horizontal="center"/>
      <protection hidden="1"/>
    </xf>
    <xf numFmtId="3" fontId="0" fillId="0" borderId="128" xfId="0" applyNumberFormat="1" applyBorder="1" applyAlignment="1" applyProtection="1">
      <alignment horizontal="center"/>
      <protection hidden="1"/>
    </xf>
    <xf numFmtId="0" fontId="20" fillId="0" borderId="0" xfId="0" applyFont="1"/>
    <xf numFmtId="4" fontId="20" fillId="0" borderId="0" xfId="0" applyNumberFormat="1" applyFont="1"/>
    <xf numFmtId="4" fontId="21" fillId="0" borderId="0" xfId="0" applyNumberFormat="1" applyFont="1"/>
    <xf numFmtId="4" fontId="0" fillId="0" borderId="0" xfId="0" applyNumberFormat="1"/>
    <xf numFmtId="3" fontId="0" fillId="0" borderId="40" xfId="0" applyNumberFormat="1" applyBorder="1" applyAlignment="1" applyProtection="1">
      <alignment horizontal="center"/>
      <protection hidden="1"/>
    </xf>
    <xf numFmtId="3" fontId="4" fillId="0" borderId="36" xfId="0" applyNumberFormat="1" applyFont="1" applyBorder="1" applyAlignment="1" applyProtection="1">
      <alignment horizontal="center"/>
      <protection hidden="1"/>
    </xf>
    <xf numFmtId="0" fontId="12" fillId="0" borderId="13" xfId="0" applyFont="1" applyBorder="1"/>
    <xf numFmtId="0" fontId="7" fillId="0" borderId="13" xfId="0" applyFont="1" applyBorder="1" applyAlignment="1" applyProtection="1">
      <alignment horizontal="left"/>
      <protection hidden="1"/>
    </xf>
    <xf numFmtId="0" fontId="12" fillId="0" borderId="13" xfId="0" applyFont="1" applyBorder="1" applyAlignment="1" applyProtection="1">
      <alignment horizontal="left"/>
      <protection hidden="1"/>
    </xf>
    <xf numFmtId="3" fontId="12" fillId="0" borderId="56" xfId="0" applyNumberFormat="1" applyFont="1" applyBorder="1" applyAlignment="1">
      <alignment horizontal="center"/>
    </xf>
    <xf numFmtId="3" fontId="0" fillId="0" borderId="129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13" fillId="0" borderId="56" xfId="12" applyNumberFormat="1" applyBorder="1" applyAlignment="1">
      <alignment horizontal="center"/>
    </xf>
    <xf numFmtId="0" fontId="0" fillId="0" borderId="6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09" xfId="0" applyBorder="1" applyAlignment="1">
      <alignment horizontal="center"/>
    </xf>
    <xf numFmtId="0" fontId="0" fillId="0" borderId="23" xfId="0" applyBorder="1" applyAlignment="1" applyProtection="1">
      <alignment horizontal="center"/>
      <protection hidden="1"/>
    </xf>
    <xf numFmtId="3" fontId="18" fillId="0" borderId="6" xfId="0" applyNumberFormat="1" applyFont="1" applyBorder="1" applyAlignment="1" applyProtection="1">
      <alignment horizontal="center"/>
      <protection hidden="1"/>
    </xf>
    <xf numFmtId="3" fontId="18" fillId="0" borderId="32" xfId="0" applyNumberFormat="1" applyFont="1" applyBorder="1" applyAlignment="1" applyProtection="1">
      <alignment horizontal="center"/>
      <protection hidden="1"/>
    </xf>
    <xf numFmtId="3" fontId="18" fillId="0" borderId="34" xfId="0" applyNumberFormat="1" applyFont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</cellXfs>
  <cellStyles count="26">
    <cellStyle name="Comma" xfId="1" xr:uid="{00000000-0005-0000-0000-000000000000}"/>
    <cellStyle name="Comma[0]" xfId="2" xr:uid="{00000000-0005-0000-0000-000001000000}"/>
    <cellStyle name="Currency" xfId="3" xr:uid="{00000000-0005-0000-0000-000002000000}"/>
    <cellStyle name="Currency[0]" xfId="4" xr:uid="{00000000-0005-0000-0000-000003000000}"/>
    <cellStyle name="Euro" xfId="10" xr:uid="{00000000-0005-0000-0000-000004000000}"/>
    <cellStyle name="Excel Built-in Comma" xfId="13" xr:uid="{00000000-0005-0000-0000-000005000000}"/>
    <cellStyle name="Heading" xfId="14" xr:uid="{00000000-0005-0000-0000-000006000000}"/>
    <cellStyle name="Heading 1" xfId="15" xr:uid="{00000000-0005-0000-0000-000007000000}"/>
    <cellStyle name="Heading1" xfId="16" xr:uid="{00000000-0005-0000-0000-000008000000}"/>
    <cellStyle name="Heading1 2" xfId="17" xr:uid="{00000000-0005-0000-0000-000009000000}"/>
    <cellStyle name="Millares 2" xfId="23" xr:uid="{00000000-0005-0000-0000-00000A000000}"/>
    <cellStyle name="Normal" xfId="0" builtinId="0"/>
    <cellStyle name="Normal 2" xfId="5" xr:uid="{00000000-0005-0000-0000-00000C000000}"/>
    <cellStyle name="Normal 2 2" xfId="6" xr:uid="{00000000-0005-0000-0000-00000D000000}"/>
    <cellStyle name="Normal 2 3" xfId="22" xr:uid="{00000000-0005-0000-0000-00000E000000}"/>
    <cellStyle name="Normal 3" xfId="7" xr:uid="{00000000-0005-0000-0000-00000F000000}"/>
    <cellStyle name="Normal 3 2" xfId="24" xr:uid="{00000000-0005-0000-0000-000010000000}"/>
    <cellStyle name="Normal 4" xfId="9" xr:uid="{00000000-0005-0000-0000-000011000000}"/>
    <cellStyle name="Normal 5" xfId="12" xr:uid="{00000000-0005-0000-0000-000012000000}"/>
    <cellStyle name="Percent" xfId="8" xr:uid="{00000000-0005-0000-0000-000013000000}"/>
    <cellStyle name="Porcentaje" xfId="11" builtinId="5"/>
    <cellStyle name="Porcentual 2" xfId="25" xr:uid="{00000000-0005-0000-0000-000015000000}"/>
    <cellStyle name="Result" xfId="18" xr:uid="{00000000-0005-0000-0000-000016000000}"/>
    <cellStyle name="Result 3" xfId="19" xr:uid="{00000000-0005-0000-0000-000017000000}"/>
    <cellStyle name="Result2" xfId="20" xr:uid="{00000000-0005-0000-0000-000018000000}"/>
    <cellStyle name="Result2 4" xfId="21" xr:uid="{00000000-0005-0000-0000-000019000000}"/>
  </cellStyles>
  <dxfs count="15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dashed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/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auto="1"/>
        </top>
        <bottom style="dashed">
          <color auto="1"/>
        </bottom>
      </border>
    </dxf>
    <dxf>
      <border>
        <top style="dashed">
          <color theme="1"/>
        </top>
        <vertical/>
        <horizontal/>
      </border>
    </dxf>
    <dxf>
      <border diagonalUp="0" diagonalDown="0">
        <left style="medium">
          <color theme="1"/>
        </left>
        <right style="medium">
          <color indexed="64"/>
        </right>
        <top style="medium">
          <color theme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dashed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theme="5"/>
          <bgColor theme="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Estilo de tabla 1" pivot="0" count="1" xr9:uid="{00000000-0011-0000-FFFF-FFFF00000000}">
      <tableStyleElement type="firstRowStripe" dxfId="153"/>
    </tableStyle>
  </tableStyles>
  <colors>
    <mruColors>
      <color rgb="FFFF6600"/>
      <color rgb="FF753805"/>
      <color rgb="FF800000"/>
      <color rgb="FFE2E2E2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17C-454A-9F89-20CB4D869E6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917C-454A-9F89-20CB4D869E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17C-454A-9F89-20CB4D869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17C-454A-9F89-20CB4D869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17C-454A-9F89-20CB4D869E60}"/>
              </c:ext>
            </c:extLst>
          </c:dPt>
          <c:cat>
            <c:strRef>
              <c:f>('RESUM 2021'!$A$3,'RESUM 2021'!$A$10,'RESUM 2021'!$A$17,'RESUM 2021'!$A$24,'RESUM 2021'!$A$31)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2021'!$N$4,'RESUM 2021'!$N$11,'RESUM 2021'!$N$18,'RESUM 2021'!$N$25,'RESUM 2021'!$N$32)</c:f>
              <c:numCache>
                <c:formatCode>#,##0</c:formatCode>
                <c:ptCount val="5"/>
                <c:pt idx="0">
                  <c:v>4942041.08</c:v>
                </c:pt>
                <c:pt idx="1">
                  <c:v>5575107.7299999995</c:v>
                </c:pt>
                <c:pt idx="2">
                  <c:v>5541900.5999999987</c:v>
                </c:pt>
                <c:pt idx="3">
                  <c:v>14364260</c:v>
                </c:pt>
                <c:pt idx="4">
                  <c:v>5812523.8599999994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7C-454A-9F89-20CB4D869E60}"/>
            </c:ext>
          </c:extLst>
        </c:ser>
        <c:ser>
          <c:idx val="1"/>
          <c:order val="1"/>
          <c:tx>
            <c:v>2018</c:v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17C-454A-9F89-20CB4D869E6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917C-454A-9F89-20CB4D869E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17C-454A-9F89-20CB4D869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17C-454A-9F89-20CB4D869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17C-454A-9F89-20CB4D869E60}"/>
              </c:ext>
            </c:extLst>
          </c:dPt>
          <c:cat>
            <c:strRef>
              <c:f>('RESUM 2021'!$A$3,'RESUM 2021'!$A$10,'RESUM 2021'!$A$17,'RESUM 2021'!$A$24,'RESUM 2021'!$A$31)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2021'!$N$5,'RESUM 2021'!$N$12,'RESUM 2021'!$N$19,'RESUM 2021'!$N$26,'RESUM 2021'!$N$33)</c:f>
              <c:numCache>
                <c:formatCode>#,##0</c:formatCode>
                <c:ptCount val="5"/>
                <c:pt idx="0">
                  <c:v>6013570.9999999991</c:v>
                </c:pt>
                <c:pt idx="1">
                  <c:v>5928109.8777639745</c:v>
                </c:pt>
                <c:pt idx="2">
                  <c:v>5658040.7699999996</c:v>
                </c:pt>
                <c:pt idx="3">
                  <c:v>15207098</c:v>
                </c:pt>
                <c:pt idx="4">
                  <c:v>5697171.0299999993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7C-454A-9F89-20CB4D869E60}"/>
            </c:ext>
          </c:extLst>
        </c:ser>
        <c:ser>
          <c:idx val="2"/>
          <c:order val="2"/>
          <c:tx>
            <c:v>2019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FE5C-42D5-B4C6-AC121F02C8C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E5C-42D5-B4C6-AC121F02C8CC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E5C-42D5-B4C6-AC121F02C8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E5C-42D5-B4C6-AC121F02C8CC}"/>
              </c:ext>
            </c:extLst>
          </c:dPt>
          <c:cat>
            <c:strRef>
              <c:f>('RESUM 2021'!$A$3,'RESUM 2021'!$A$10,'RESUM 2021'!$A$17,'RESUM 2021'!$A$24,'RESUM 2021'!$A$31)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2021'!$N$6,'RESUM 2021'!$N$13,'RESUM 2021'!$N$20,'RESUM 2021'!$N$27,'RESUM 2021'!$N$34)</c:f>
              <c:numCache>
                <c:formatCode>#,##0</c:formatCode>
                <c:ptCount val="5"/>
                <c:pt idx="0">
                  <c:v>7250915.5699999984</c:v>
                </c:pt>
                <c:pt idx="1">
                  <c:v>6429631.7979999995</c:v>
                </c:pt>
                <c:pt idx="2">
                  <c:v>5865099.9999999991</c:v>
                </c:pt>
                <c:pt idx="3">
                  <c:v>12866677.82</c:v>
                </c:pt>
                <c:pt idx="4">
                  <c:v>5559130.04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5C-42D5-B4C6-AC121F02C8CC}"/>
            </c:ext>
          </c:extLst>
        </c:ser>
        <c:ser>
          <c:idx val="3"/>
          <c:order val="3"/>
          <c:tx>
            <c:v>2020</c:v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E-55AB-4E6F-9A45-5D5FFCB0351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5AB-4E6F-9A45-5D5FFCB0351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0-55AB-4E6F-9A45-5D5FFCB0351B}"/>
              </c:ext>
            </c:extLst>
          </c:dPt>
          <c:dPt>
            <c:idx val="4"/>
            <c:invertIfNegative val="0"/>
            <c:bubble3D val="0"/>
            <c:spPr>
              <a:solidFill>
                <a:srgbClr val="753805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5AB-4E6F-9A45-5D5FFCB0351B}"/>
              </c:ext>
            </c:extLst>
          </c:dPt>
          <c:cat>
            <c:strRef>
              <c:f>('RESUM 2021'!$A$3,'RESUM 2021'!$A$10,'RESUM 2021'!$A$17,'RESUM 2021'!$A$24,'RESUM 2021'!$A$31)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2021'!$N$7,'RESUM 2021'!$N$14,'RESUM 2021'!$N$21,'RESUM 2021'!$N$28,'RESUM 2021'!$N$35)</c:f>
              <c:numCache>
                <c:formatCode>#,##0</c:formatCode>
                <c:ptCount val="5"/>
                <c:pt idx="0">
                  <c:v>8372094.2899999982</c:v>
                </c:pt>
                <c:pt idx="1">
                  <c:v>7431100.1900000004</c:v>
                </c:pt>
                <c:pt idx="2">
                  <c:v>6711220.0200000005</c:v>
                </c:pt>
                <c:pt idx="3">
                  <c:v>13694820.1</c:v>
                </c:pt>
                <c:pt idx="4">
                  <c:v>6073854.0300000003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5AB-4E6F-9A45-5D5FFCB0351B}"/>
            </c:ext>
          </c:extLst>
        </c:ser>
        <c:ser>
          <c:idx val="4"/>
          <c:order val="4"/>
          <c:tx>
            <c:strRef>
              <c:f>'RESUM 2021'!$A$8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3-55AB-4E6F-9A45-5D5FFCB0351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55AB-4E6F-9A45-5D5FFCB0351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55AB-4E6F-9A45-5D5FFCB0351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6-55AB-4E6F-9A45-5D5FFCB0351B}"/>
              </c:ext>
            </c:extLst>
          </c:dPt>
          <c:cat>
            <c:strRef>
              <c:f>('RESUM 2021'!$A$3,'RESUM 2021'!$A$10,'RESUM 2021'!$A$17,'RESUM 2021'!$A$24,'RESUM 2021'!$A$31)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2021'!$N$8,'RESUM 2021'!$N$15,'RESUM 2021'!$N$22,'RESUM 2021'!$N$29,'RESUM 2021'!$N$36)</c:f>
              <c:numCache>
                <c:formatCode>#,##0</c:formatCode>
                <c:ptCount val="5"/>
                <c:pt idx="0">
                  <c:v>8090302.4499999993</c:v>
                </c:pt>
                <c:pt idx="1">
                  <c:v>7590683.0899999999</c:v>
                </c:pt>
                <c:pt idx="2">
                  <c:v>6647819.129999999</c:v>
                </c:pt>
                <c:pt idx="3">
                  <c:v>14469238.01</c:v>
                </c:pt>
                <c:pt idx="4">
                  <c:v>5947509.9800000004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55AB-4E6F-9A45-5D5FFCB03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2872320"/>
        <c:axId val="72873856"/>
      </c:barChart>
      <c:catAx>
        <c:axId val="7287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873856"/>
        <c:crosses val="autoZero"/>
        <c:auto val="1"/>
        <c:lblAlgn val="ctr"/>
        <c:lblOffset val="100"/>
        <c:noMultiLvlLbl val="0"/>
      </c:catAx>
      <c:valAx>
        <c:axId val="72873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7287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2021-2020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RMO!$B$45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6.8376068376068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0A-4C17-BFA0-FB452F56868E}"/>
                </c:ext>
              </c:extLst>
            </c:dLbl>
            <c:dLbl>
              <c:idx val="4"/>
              <c:layout>
                <c:manualLayout>
                  <c:x val="-1.1946160576081801E-2"/>
                  <c:y val="-1.3245078740158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0A-4C17-BFA0-FB452F56868E}"/>
                </c:ext>
              </c:extLst>
            </c:dLbl>
            <c:dLbl>
              <c:idx val="5"/>
              <c:layout>
                <c:manualLayout>
                  <c:x val="3.5501246991428976E-3"/>
                  <c:y val="-1.2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0A-4C17-BFA0-FB452F56868E}"/>
                </c:ext>
              </c:extLst>
            </c:dLbl>
            <c:dLbl>
              <c:idx val="8"/>
              <c:layout>
                <c:manualLayout>
                  <c:x val="8.3569784832139518E-17"/>
                  <c:y val="-2.08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0A-4C17-BFA0-FB452F56868E}"/>
                </c:ext>
              </c:extLst>
            </c:dLbl>
            <c:dLbl>
              <c:idx val="9"/>
              <c:layout>
                <c:manualLayout>
                  <c:x val="9.0836736694218656E-3"/>
                  <c:y val="-2.50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0A-4C17-BFA0-FB452F56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1107820</c:v>
                </c:pt>
                <c:pt idx="1">
                  <c:v>987120</c:v>
                </c:pt>
                <c:pt idx="2">
                  <c:v>1097660</c:v>
                </c:pt>
                <c:pt idx="3">
                  <c:v>1195580</c:v>
                </c:pt>
                <c:pt idx="4">
                  <c:v>1236660</c:v>
                </c:pt>
                <c:pt idx="5">
                  <c:v>1260060.1000000001</c:v>
                </c:pt>
                <c:pt idx="6">
                  <c:v>1224420</c:v>
                </c:pt>
                <c:pt idx="7">
                  <c:v>1162340</c:v>
                </c:pt>
                <c:pt idx="8">
                  <c:v>1103480</c:v>
                </c:pt>
                <c:pt idx="9">
                  <c:v>1114620</c:v>
                </c:pt>
                <c:pt idx="10">
                  <c:v>1091280</c:v>
                </c:pt>
                <c:pt idx="11">
                  <c:v>1113780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0A-4C17-BFA0-FB452F56868E}"/>
            </c:ext>
          </c:extLst>
        </c:ser>
        <c:ser>
          <c:idx val="41"/>
          <c:order val="1"/>
          <c:tx>
            <c:strRef>
              <c:f>RMO!$B$44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867314458033181E-2"/>
                  <c:y val="-1.755532174857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0A-4C17-BFA0-FB452F56868E}"/>
                </c:ext>
              </c:extLst>
            </c:dLbl>
            <c:dLbl>
              <c:idx val="1"/>
              <c:layout>
                <c:manualLayout>
                  <c:x val="9.73709834469328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0A-4C17-BFA0-FB452F56868E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910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0A-4C17-BFA0-FB452F56868E}"/>
                </c:ext>
              </c:extLst>
            </c:dLbl>
            <c:dLbl>
              <c:idx val="3"/>
              <c:layout>
                <c:manualLayout>
                  <c:x val="9.1168091168094267E-3"/>
                  <c:y val="-3.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0A-4C17-BFA0-FB452F56868E}"/>
                </c:ext>
              </c:extLst>
            </c:dLbl>
            <c:dLbl>
              <c:idx val="4"/>
              <c:layout>
                <c:manualLayout>
                  <c:x val="7.66283524904214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0A-4C17-BFA0-FB452F56868E}"/>
                </c:ext>
              </c:extLst>
            </c:dLbl>
            <c:dLbl>
              <c:idx val="5"/>
              <c:layout>
                <c:manualLayout>
                  <c:x val="6.6390041493775932E-3"/>
                  <c:y val="-8.3333333333333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0A-4C17-BFA0-FB452F56868E}"/>
                </c:ext>
              </c:extLst>
            </c:dLbl>
            <c:dLbl>
              <c:idx val="6"/>
              <c:layout>
                <c:manualLayout>
                  <c:x val="2.21300138312585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94-4578-A7DB-DE0F4E374A61}"/>
                </c:ext>
              </c:extLst>
            </c:dLbl>
            <c:dLbl>
              <c:idx val="7"/>
              <c:layout>
                <c:manualLayout>
                  <c:x val="1.823365025429904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0A-4C17-BFA0-FB452F56868E}"/>
                </c:ext>
              </c:extLst>
            </c:dLbl>
            <c:dLbl>
              <c:idx val="8"/>
              <c:layout>
                <c:manualLayout>
                  <c:x val="1.2535612535612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0A-4C17-BFA0-FB452F56868E}"/>
                </c:ext>
              </c:extLst>
            </c:dLbl>
            <c:dLbl>
              <c:idx val="9"/>
              <c:layout>
                <c:manualLayout>
                  <c:x val="2.7350427350427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0A-4C17-BFA0-FB452F56868E}"/>
                </c:ext>
              </c:extLst>
            </c:dLbl>
            <c:dLbl>
              <c:idx val="11"/>
              <c:layout>
                <c:manualLayout>
                  <c:x val="2.051282051282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0A-4C17-BFA0-FB452F56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RMO!$C$44:$N$44</c:f>
              <c:numCache>
                <c:formatCode>#,##0</c:formatCode>
                <c:ptCount val="12"/>
                <c:pt idx="0">
                  <c:v>1082420</c:v>
                </c:pt>
                <c:pt idx="1">
                  <c:v>984360.01</c:v>
                </c:pt>
                <c:pt idx="2">
                  <c:v>1175640</c:v>
                </c:pt>
                <c:pt idx="3">
                  <c:v>1120218</c:v>
                </c:pt>
                <c:pt idx="4">
                  <c:v>1237280</c:v>
                </c:pt>
                <c:pt idx="5">
                  <c:v>1206140</c:v>
                </c:pt>
                <c:pt idx="6">
                  <c:v>1204900</c:v>
                </c:pt>
                <c:pt idx="7">
                  <c:v>1124120</c:v>
                </c:pt>
                <c:pt idx="8">
                  <c:v>1116260</c:v>
                </c:pt>
                <c:pt idx="9">
                  <c:v>1399540</c:v>
                </c:pt>
                <c:pt idx="10">
                  <c:v>1390460</c:v>
                </c:pt>
                <c:pt idx="11">
                  <c:v>1427900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C0A-4C17-BFA0-FB452F56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5313920"/>
        <c:axId val="95315456"/>
        <c:axId val="0"/>
      </c:bar3DChart>
      <c:catAx>
        <c:axId val="953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5456"/>
        <c:crosses val="autoZero"/>
        <c:auto val="1"/>
        <c:lblAlgn val="ctr"/>
        <c:lblOffset val="100"/>
        <c:noMultiLvlLbl val="0"/>
      </c:catAx>
      <c:valAx>
        <c:axId val="95315456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5313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1877" l="0.7086614173228547" r="0.7086614173228547" t="0.74803149606301877" header="0.31496062992127516" footer="0.314960629921275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2021-2020</a:t>
            </a:r>
          </a:p>
        </c:rich>
      </c:tx>
      <c:layout>
        <c:manualLayout>
          <c:xMode val="edge"/>
          <c:yMode val="edge"/>
          <c:x val="0.44307909172467841"/>
          <c:y val="2.58620689655172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RMO!$B$45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2.1667937029663683E-2"/>
                  <c:y val="-4.655172413793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7F-4A99-8E74-3705E0C3C16B}"/>
                </c:ext>
              </c:extLst>
            </c:dLbl>
            <c:dLbl>
              <c:idx val="3"/>
              <c:layout>
                <c:manualLayout>
                  <c:x val="-1.1405759908754321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7F-4A99-8E74-3705E0C3C16B}"/>
                </c:ext>
              </c:extLst>
            </c:dLbl>
            <c:dLbl>
              <c:idx val="4"/>
              <c:layout>
                <c:manualLayout>
                  <c:x val="-5.1085568326947684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F-4A99-8E74-3705E0C3C16B}"/>
                </c:ext>
              </c:extLst>
            </c:dLbl>
            <c:dLbl>
              <c:idx val="5"/>
              <c:layout>
                <c:manualLayout>
                  <c:x val="1.1494252873563218E-2"/>
                  <c:y val="4.0470481061491112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7F-4A99-8E74-3705E0C3C16B}"/>
                </c:ext>
              </c:extLst>
            </c:dLbl>
            <c:dLbl>
              <c:idx val="7"/>
              <c:layout>
                <c:manualLayout>
                  <c:x val="0"/>
                  <c:y val="-3.64583333333334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F-4A99-8E74-3705E0C3C16B}"/>
                </c:ext>
              </c:extLst>
            </c:dLbl>
            <c:dLbl>
              <c:idx val="9"/>
              <c:layout>
                <c:manualLayout>
                  <c:x val="0"/>
                  <c:y val="3.750000000000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7F-4A99-8E74-3705E0C3C16B}"/>
                </c:ext>
              </c:extLst>
            </c:dLbl>
            <c:dLbl>
              <c:idx val="10"/>
              <c:layout>
                <c:manualLayout>
                  <c:x val="0"/>
                  <c:y val="-1.597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7F-4A99-8E74-3705E0C3C1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1107820</c:v>
                </c:pt>
                <c:pt idx="1">
                  <c:v>987120</c:v>
                </c:pt>
                <c:pt idx="2">
                  <c:v>1097660</c:v>
                </c:pt>
                <c:pt idx="3">
                  <c:v>1195580</c:v>
                </c:pt>
                <c:pt idx="4">
                  <c:v>1236660</c:v>
                </c:pt>
                <c:pt idx="5">
                  <c:v>1260060.1000000001</c:v>
                </c:pt>
                <c:pt idx="6">
                  <c:v>1224420</c:v>
                </c:pt>
                <c:pt idx="7">
                  <c:v>1162340</c:v>
                </c:pt>
                <c:pt idx="8">
                  <c:v>1103480</c:v>
                </c:pt>
                <c:pt idx="9">
                  <c:v>1114620</c:v>
                </c:pt>
                <c:pt idx="10">
                  <c:v>1091280</c:v>
                </c:pt>
                <c:pt idx="11">
                  <c:v>1113780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F-4A99-8E74-3705E0C3C16B}"/>
            </c:ext>
          </c:extLst>
        </c:ser>
        <c:ser>
          <c:idx val="41"/>
          <c:order val="1"/>
          <c:tx>
            <c:strRef>
              <c:f>RMO!$B$1</c:f>
              <c:strCache>
                <c:ptCount val="1"/>
                <c:pt idx="0">
                  <c:v>RMO - 2021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6.7954080590225934E-3"/>
                  <c:y val="-5.074507874015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7F-4A99-8E74-3705E0C3C16B}"/>
                </c:ext>
              </c:extLst>
            </c:dLbl>
            <c:dLbl>
              <c:idx val="1"/>
              <c:layout>
                <c:manualLayout>
                  <c:x val="-1.08242680088759E-3"/>
                  <c:y val="3.47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7F-4A99-8E74-3705E0C3C16B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91112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7F-4A99-8E74-3705E0C3C16B}"/>
                </c:ext>
              </c:extLst>
            </c:dLbl>
            <c:dLbl>
              <c:idx val="3"/>
              <c:layout>
                <c:manualLayout>
                  <c:x val="-1.4827487881380101E-2"/>
                  <c:y val="-4.16666666666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7F-4A99-8E74-3705E0C3C16B}"/>
                </c:ext>
              </c:extLst>
            </c:dLbl>
            <c:dLbl>
              <c:idx val="4"/>
              <c:layout>
                <c:manualLayout>
                  <c:x val="4.2411465033937133E-3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7F-4A99-8E74-3705E0C3C16B}"/>
                </c:ext>
              </c:extLst>
            </c:dLbl>
            <c:dLbl>
              <c:idx val="5"/>
              <c:layout>
                <c:manualLayout>
                  <c:x val="0"/>
                  <c:y val="1.9791666666666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7F-4A99-8E74-3705E0C3C16B}"/>
                </c:ext>
              </c:extLst>
            </c:dLbl>
            <c:dLbl>
              <c:idx val="6"/>
              <c:layout>
                <c:manualLayout>
                  <c:x val="-6.6423115244105763E-3"/>
                  <c:y val="2.9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9C-4F01-88F9-351554C4DEE7}"/>
                </c:ext>
              </c:extLst>
            </c:dLbl>
            <c:dLbl>
              <c:idx val="7"/>
              <c:layout>
                <c:manualLayout>
                  <c:x val="-1.0824701379282091E-3"/>
                  <c:y val="2.9511154855643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7F-4A99-8E74-3705E0C3C16B}"/>
                </c:ext>
              </c:extLst>
            </c:dLbl>
            <c:dLbl>
              <c:idx val="8"/>
              <c:layout>
                <c:manualLayout>
                  <c:x val="-2.1053554457792661E-3"/>
                  <c:y val="-2.3437499999999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7F-4A99-8E74-3705E0C3C16B}"/>
                </c:ext>
              </c:extLst>
            </c:dLbl>
            <c:dLbl>
              <c:idx val="9"/>
              <c:layout>
                <c:manualLayout>
                  <c:x val="1.1405759908754321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7F-4A99-8E74-3705E0C3C16B}"/>
                </c:ext>
              </c:extLst>
            </c:dLbl>
            <c:dLbl>
              <c:idx val="10"/>
              <c:layout>
                <c:manualLayout>
                  <c:x val="0"/>
                  <c:y val="-4.77430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7F-4A99-8E74-3705E0C3C16B}"/>
                </c:ext>
              </c:extLst>
            </c:dLbl>
            <c:dLbl>
              <c:idx val="11"/>
              <c:layout>
                <c:manualLayout>
                  <c:x val="0"/>
                  <c:y val="-2.6041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4A-4767-8A6D-98D79CE4B8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RMO!$C$44:$N$44</c:f>
              <c:numCache>
                <c:formatCode>#,##0</c:formatCode>
                <c:ptCount val="12"/>
                <c:pt idx="0">
                  <c:v>1082420</c:v>
                </c:pt>
                <c:pt idx="1">
                  <c:v>984360.01</c:v>
                </c:pt>
                <c:pt idx="2">
                  <c:v>1175640</c:v>
                </c:pt>
                <c:pt idx="3">
                  <c:v>1120218</c:v>
                </c:pt>
                <c:pt idx="4">
                  <c:v>1237280</c:v>
                </c:pt>
                <c:pt idx="5">
                  <c:v>1206140</c:v>
                </c:pt>
                <c:pt idx="6">
                  <c:v>1204900</c:v>
                </c:pt>
                <c:pt idx="7">
                  <c:v>1124120</c:v>
                </c:pt>
                <c:pt idx="8">
                  <c:v>1116260</c:v>
                </c:pt>
                <c:pt idx="9">
                  <c:v>1399540</c:v>
                </c:pt>
                <c:pt idx="10">
                  <c:v>1390460</c:v>
                </c:pt>
                <c:pt idx="11">
                  <c:v>1427900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7F-4A99-8E74-3705E0C3C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26592"/>
        <c:axId val="82944768"/>
      </c:lineChart>
      <c:catAx>
        <c:axId val="829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944768"/>
        <c:crosses val="autoZero"/>
        <c:auto val="1"/>
        <c:lblAlgn val="ctr"/>
        <c:lblOffset val="100"/>
        <c:noMultiLvlLbl val="0"/>
      </c:catAx>
      <c:valAx>
        <c:axId val="82944768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926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 2021-2020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7713920817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0C-4DDD-BD33-06A8ECC3BDFE}"/>
                </c:ext>
              </c:extLst>
            </c:dLbl>
            <c:dLbl>
              <c:idx val="1"/>
              <c:layout>
                <c:manualLayout>
                  <c:x val="3.78635101259635E-3"/>
                  <c:y val="-7.2021207769870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0C-4DDD-BD33-06A8ECC3BDFE}"/>
                </c:ext>
              </c:extLst>
            </c:dLbl>
            <c:dLbl>
              <c:idx val="2"/>
              <c:layout>
                <c:manualLayout>
                  <c:x val="-1.1494252873563218E-2"/>
                  <c:y val="1.324503771707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0C-4DDD-BD33-06A8ECC3BDFE}"/>
                </c:ext>
              </c:extLst>
            </c:dLbl>
            <c:dLbl>
              <c:idx val="3"/>
              <c:layout>
                <c:manualLayout>
                  <c:x val="-5.1085568326947684E-3"/>
                  <c:y val="-1.3245385355855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0C-4DDD-BD33-06A8ECC3BDFE}"/>
                </c:ext>
              </c:extLst>
            </c:dLbl>
            <c:dLbl>
              <c:idx val="4"/>
              <c:layout>
                <c:manualLayout>
                  <c:x val="5.1085568326947684E-3"/>
                  <c:y val="-2.2075062861784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0C-4DDD-BD33-06A8ECC3BDFE}"/>
                </c:ext>
              </c:extLst>
            </c:dLbl>
            <c:dLbl>
              <c:idx val="5"/>
              <c:layout>
                <c:manualLayout>
                  <c:x val="4.4260027662517288E-3"/>
                  <c:y val="-1.60428492950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0C-4DDD-BD33-06A8ECC3B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440780.04</c:v>
                </c:pt>
                <c:pt idx="1">
                  <c:v>433039.99</c:v>
                </c:pt>
                <c:pt idx="2">
                  <c:v>478840</c:v>
                </c:pt>
                <c:pt idx="3">
                  <c:v>534160</c:v>
                </c:pt>
                <c:pt idx="4">
                  <c:v>574699.99999999988</c:v>
                </c:pt>
                <c:pt idx="5">
                  <c:v>578519.99999999988</c:v>
                </c:pt>
                <c:pt idx="6">
                  <c:v>560240.01000000013</c:v>
                </c:pt>
                <c:pt idx="7">
                  <c:v>538654</c:v>
                </c:pt>
                <c:pt idx="8">
                  <c:v>508699.99</c:v>
                </c:pt>
                <c:pt idx="9">
                  <c:v>486720</c:v>
                </c:pt>
                <c:pt idx="10">
                  <c:v>479620</c:v>
                </c:pt>
                <c:pt idx="11">
                  <c:v>459880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0C-4DDD-BD33-06A8ECC3BDFE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775281504229298E-2"/>
                  <c:y val="-8.0710250201775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0C-4DDD-BD33-06A8ECC3BDFE}"/>
                </c:ext>
              </c:extLst>
            </c:dLbl>
            <c:dLbl>
              <c:idx val="1"/>
              <c:layout>
                <c:manualLayout>
                  <c:x val="7.39753898001851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0C-4DDD-BD33-06A8ECC3BDFE}"/>
                </c:ext>
              </c:extLst>
            </c:dLbl>
            <c:dLbl>
              <c:idx val="4"/>
              <c:layout>
                <c:manualLayout>
                  <c:x val="1.5886524822695043E-2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0C-4DDD-BD33-06A8ECC3BDFE}"/>
                </c:ext>
              </c:extLst>
            </c:dLbl>
            <c:dLbl>
              <c:idx val="5"/>
              <c:layout>
                <c:manualLayout>
                  <c:x val="1.14942528735632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0C-4DDD-BD33-06A8ECC3BDFE}"/>
                </c:ext>
              </c:extLst>
            </c:dLbl>
            <c:dLbl>
              <c:idx val="6"/>
              <c:layout>
                <c:manualLayout>
                  <c:x val="1.4026827858792407E-2"/>
                  <c:y val="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0C-4DDD-BD33-06A8ECC3BDFE}"/>
                </c:ext>
              </c:extLst>
            </c:dLbl>
            <c:dLbl>
              <c:idx val="7"/>
              <c:layout>
                <c:manualLayout>
                  <c:x val="1.0789867583686547E-2"/>
                  <c:y val="-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0C-4DDD-BD33-06A8ECC3BDFE}"/>
                </c:ext>
              </c:extLst>
            </c:dLbl>
            <c:dLbl>
              <c:idx val="8"/>
              <c:layout>
                <c:manualLayout>
                  <c:x val="4.5390070921988461E-3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10C-4DDD-BD33-06A8ECC3BDFE}"/>
                </c:ext>
              </c:extLst>
            </c:dLbl>
            <c:dLbl>
              <c:idx val="9"/>
              <c:layout>
                <c:manualLayout>
                  <c:x val="1.1347517730496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0C-4DDD-BD33-06A8ECC3BDFE}"/>
                </c:ext>
              </c:extLst>
            </c:dLbl>
            <c:dLbl>
              <c:idx val="10"/>
              <c:layout>
                <c:manualLayout>
                  <c:x val="6.4568200161420524E-3"/>
                  <c:y val="-3.2284100080710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61-4FC1-B9C8-1790480D0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430299.99999999994</c:v>
                </c:pt>
                <c:pt idx="1">
                  <c:v>424100</c:v>
                </c:pt>
                <c:pt idx="2">
                  <c:v>513779.99</c:v>
                </c:pt>
                <c:pt idx="3">
                  <c:v>507720</c:v>
                </c:pt>
                <c:pt idx="4">
                  <c:v>571600.01</c:v>
                </c:pt>
                <c:pt idx="5">
                  <c:v>545060</c:v>
                </c:pt>
                <c:pt idx="6">
                  <c:v>514319.99</c:v>
                </c:pt>
                <c:pt idx="7">
                  <c:v>483699.99</c:v>
                </c:pt>
                <c:pt idx="8">
                  <c:v>476529.99999999994</c:v>
                </c:pt>
                <c:pt idx="9">
                  <c:v>495819.99999999994</c:v>
                </c:pt>
                <c:pt idx="10">
                  <c:v>492960</c:v>
                </c:pt>
                <c:pt idx="11">
                  <c:v>491620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0C-4DDD-BD33-06A8ECC3B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0010240"/>
        <c:axId val="100024320"/>
        <c:axId val="0"/>
      </c:bar3DChart>
      <c:catAx>
        <c:axId val="1000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024320"/>
        <c:crosses val="autoZero"/>
        <c:auto val="1"/>
        <c:lblAlgn val="ctr"/>
        <c:lblOffset val="100"/>
        <c:noMultiLvlLbl val="0"/>
      </c:catAx>
      <c:valAx>
        <c:axId val="10002432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0010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2021-2020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FORM!$B$45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-2.9501633126119493E-2"/>
                  <c:y val="-3.6420559059912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BB-4086-84FD-33181D7B1DB4}"/>
                </c:ext>
              </c:extLst>
            </c:dLbl>
            <c:dLbl>
              <c:idx val="1"/>
              <c:layout>
                <c:manualLayout>
                  <c:x val="-1.5421406272166699E-2"/>
                  <c:y val="-2.1865376225170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BB-4086-84FD-33181D7B1DB4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BB-4086-84FD-33181D7B1DB4}"/>
                </c:ext>
              </c:extLst>
            </c:dLbl>
            <c:dLbl>
              <c:idx val="3"/>
              <c:layout>
                <c:manualLayout>
                  <c:x val="-4.5274476513865311E-3"/>
                  <c:y val="-1.966568338249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BB-4086-84FD-33181D7B1DB4}"/>
                </c:ext>
              </c:extLst>
            </c:dLbl>
            <c:dLbl>
              <c:idx val="4"/>
              <c:layout>
                <c:manualLayout>
                  <c:x val="-2.3922990859386543E-2"/>
                  <c:y val="-3.015745077409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BB-4086-84FD-33181D7B1DB4}"/>
                </c:ext>
              </c:extLst>
            </c:dLbl>
            <c:dLbl>
              <c:idx val="5"/>
              <c:layout>
                <c:manualLayout>
                  <c:x val="-8.5790884718500021E-3"/>
                  <c:y val="-1.205222504319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BB-4086-84FD-33181D7B1DB4}"/>
                </c:ext>
              </c:extLst>
            </c:dLbl>
            <c:dLbl>
              <c:idx val="8"/>
              <c:layout>
                <c:manualLayout>
                  <c:x val="-2.1470746108427662E-3"/>
                  <c:y val="3.2236635656594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BB-4086-84FD-33181D7B1DB4}"/>
                </c:ext>
              </c:extLst>
            </c:dLbl>
            <c:dLbl>
              <c:idx val="9"/>
              <c:layout>
                <c:manualLayout>
                  <c:x val="-4.352475264263465E-3"/>
                  <c:y val="2.1209151431178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BB-4086-84FD-33181D7B1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440780.04</c:v>
                </c:pt>
                <c:pt idx="1">
                  <c:v>433039.99</c:v>
                </c:pt>
                <c:pt idx="2">
                  <c:v>478840</c:v>
                </c:pt>
                <c:pt idx="3">
                  <c:v>534160</c:v>
                </c:pt>
                <c:pt idx="4">
                  <c:v>574699.99999999988</c:v>
                </c:pt>
                <c:pt idx="5">
                  <c:v>578519.99999999988</c:v>
                </c:pt>
                <c:pt idx="6">
                  <c:v>560240.01000000013</c:v>
                </c:pt>
                <c:pt idx="7">
                  <c:v>538654</c:v>
                </c:pt>
                <c:pt idx="8">
                  <c:v>508699.99</c:v>
                </c:pt>
                <c:pt idx="9">
                  <c:v>486720</c:v>
                </c:pt>
                <c:pt idx="10">
                  <c:v>479620</c:v>
                </c:pt>
                <c:pt idx="11">
                  <c:v>459880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BB-4086-84FD-33181D7B1DB4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- 2021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8.4290380360341442E-3"/>
                  <c:y val="4.045169714045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BB-4086-84FD-33181D7B1DB4}"/>
                </c:ext>
              </c:extLst>
            </c:dLbl>
            <c:dLbl>
              <c:idx val="1"/>
              <c:layout>
                <c:manualLayout>
                  <c:x val="-7.5989105302412671E-3"/>
                  <c:y val="1.410259073816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BB-4086-84FD-33181D7B1DB4}"/>
                </c:ext>
              </c:extLst>
            </c:dLbl>
            <c:dLbl>
              <c:idx val="2"/>
              <c:layout>
                <c:manualLayout>
                  <c:x val="-8.0459150276640055E-3"/>
                  <c:y val="3.886666592086990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BB-4086-84FD-33181D7B1DB4}"/>
                </c:ext>
              </c:extLst>
            </c:dLbl>
            <c:dLbl>
              <c:idx val="4"/>
              <c:layout>
                <c:manualLayout>
                  <c:x val="-8.838758844239597E-3"/>
                  <c:y val="3.9173884900644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514927223424215E-2"/>
                      <c:h val="4.70278178147095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75BB-4086-84FD-33181D7B1DB4}"/>
                </c:ext>
              </c:extLst>
            </c:dLbl>
            <c:dLbl>
              <c:idx val="5"/>
              <c:layout>
                <c:manualLayout>
                  <c:x val="-9.6514745308311067E-3"/>
                  <c:y val="4.888300231364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BB-4086-84FD-33181D7B1DB4}"/>
                </c:ext>
              </c:extLst>
            </c:dLbl>
            <c:dLbl>
              <c:idx val="6"/>
              <c:layout>
                <c:manualLayout>
                  <c:x val="-2.3062455357330727E-3"/>
                  <c:y val="-2.2343666269184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BB-4086-84FD-33181D7B1DB4}"/>
                </c:ext>
              </c:extLst>
            </c:dLbl>
            <c:dLbl>
              <c:idx val="7"/>
              <c:layout>
                <c:manualLayout>
                  <c:x val="-8.6109889949696726E-3"/>
                  <c:y val="4.146639540460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BB-4086-84FD-33181D7B1DB4}"/>
                </c:ext>
              </c:extLst>
            </c:dLbl>
            <c:dLbl>
              <c:idx val="8"/>
              <c:layout>
                <c:manualLayout>
                  <c:x val="-3.2247539105921376E-3"/>
                  <c:y val="1.6349887594522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BB-4086-84FD-33181D7B1DB4}"/>
                </c:ext>
              </c:extLst>
            </c:dLbl>
            <c:dLbl>
              <c:idx val="9"/>
              <c:layout>
                <c:manualLayout>
                  <c:x val="-2.5764895330112583E-2"/>
                  <c:y val="-2.151780383675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BB-4086-84FD-33181D7B1DB4}"/>
                </c:ext>
              </c:extLst>
            </c:dLbl>
            <c:dLbl>
              <c:idx val="10"/>
              <c:layout>
                <c:manualLayout>
                  <c:x val="-7.5147611379496005E-3"/>
                  <c:y val="-2.452483139178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D0-4DA6-9DF9-D3DF02708A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FORM!$C$44:$N$44</c:f>
              <c:numCache>
                <c:formatCode>#,##0</c:formatCode>
                <c:ptCount val="12"/>
                <c:pt idx="0">
                  <c:v>430299.99999999994</c:v>
                </c:pt>
                <c:pt idx="1">
                  <c:v>424100</c:v>
                </c:pt>
                <c:pt idx="2">
                  <c:v>513779.99</c:v>
                </c:pt>
                <c:pt idx="3">
                  <c:v>507720</c:v>
                </c:pt>
                <c:pt idx="4">
                  <c:v>571600.01</c:v>
                </c:pt>
                <c:pt idx="5">
                  <c:v>545060</c:v>
                </c:pt>
                <c:pt idx="6">
                  <c:v>514319.99</c:v>
                </c:pt>
                <c:pt idx="7">
                  <c:v>483699.99</c:v>
                </c:pt>
                <c:pt idx="8">
                  <c:v>476529.99999999994</c:v>
                </c:pt>
                <c:pt idx="9">
                  <c:v>495819.99999999994</c:v>
                </c:pt>
                <c:pt idx="10">
                  <c:v>492960</c:v>
                </c:pt>
                <c:pt idx="11">
                  <c:v>491620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5BB-4086-84FD-33181D7B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9936"/>
        <c:axId val="99961472"/>
      </c:lineChart>
      <c:catAx>
        <c:axId val="999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9961472"/>
        <c:crosses val="autoZero"/>
        <c:auto val="1"/>
        <c:lblAlgn val="ctr"/>
        <c:lblOffset val="100"/>
        <c:noMultiLvlLbl val="0"/>
      </c:catAx>
      <c:valAx>
        <c:axId val="99961472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99599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2021-2020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88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90-4927-8984-8955055C6FCE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90-4927-8984-8955055C6FCE}"/>
                </c:ext>
              </c:extLst>
            </c:dLbl>
            <c:dLbl>
              <c:idx val="4"/>
              <c:layout>
                <c:manualLayout>
                  <c:x val="0"/>
                  <c:y val="-2.19876868953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13-430B-ABDA-179C807568BF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90-4927-8984-8955055C6FCE}"/>
                </c:ext>
              </c:extLst>
            </c:dLbl>
            <c:dLbl>
              <c:idx val="7"/>
              <c:layout>
                <c:manualLayout>
                  <c:x val="-8.47682119205298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3E-4C5D-A6DC-0996E19D5DE4}"/>
                </c:ext>
              </c:extLst>
            </c:dLbl>
            <c:dLbl>
              <c:idx val="8"/>
              <c:layout>
                <c:manualLayout>
                  <c:x val="-9.0571830839025168E-3"/>
                  <c:y val="-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0-4927-8984-8955055C6FCE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618959.99999999977</c:v>
                </c:pt>
                <c:pt idx="1">
                  <c:v>498470.26</c:v>
                </c:pt>
                <c:pt idx="2">
                  <c:v>547400.02000000014</c:v>
                </c:pt>
                <c:pt idx="3">
                  <c:v>566800</c:v>
                </c:pt>
                <c:pt idx="4">
                  <c:v>541640.00999999989</c:v>
                </c:pt>
                <c:pt idx="5">
                  <c:v>609488.57000000007</c:v>
                </c:pt>
                <c:pt idx="6">
                  <c:v>585970.05000000005</c:v>
                </c:pt>
                <c:pt idx="7">
                  <c:v>500221.00999999995</c:v>
                </c:pt>
                <c:pt idx="8">
                  <c:v>570779.9600000002</c:v>
                </c:pt>
                <c:pt idx="9">
                  <c:v>556520.01999999979</c:v>
                </c:pt>
                <c:pt idx="10">
                  <c:v>546339.98999999976</c:v>
                </c:pt>
                <c:pt idx="11">
                  <c:v>669765.96999999986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90-4927-8984-8955055C6FCE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90-4927-8984-8955055C6FCE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90-4927-8984-8955055C6FCE}"/>
                </c:ext>
              </c:extLst>
            </c:dLbl>
            <c:dLbl>
              <c:idx val="2"/>
              <c:layout>
                <c:manualLayout>
                  <c:x val="1.15025992827878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E-4C5D-A6DC-0996E19D5DE4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90-4927-8984-8955055C6FCE}"/>
                </c:ext>
              </c:extLst>
            </c:dLbl>
            <c:dLbl>
              <c:idx val="5"/>
              <c:layout>
                <c:manualLayout>
                  <c:x val="7.1268118512213003E-3"/>
                  <c:y val="-8.7431353402724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90-4927-8984-8955055C6FCE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90-4927-8984-8955055C6FCE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577979.99999999988</c:v>
                </c:pt>
                <c:pt idx="1">
                  <c:v>521609.99</c:v>
                </c:pt>
                <c:pt idx="2">
                  <c:v>552550.00000000012</c:v>
                </c:pt>
                <c:pt idx="3">
                  <c:v>522102</c:v>
                </c:pt>
                <c:pt idx="4">
                  <c:v>526460.98</c:v>
                </c:pt>
                <c:pt idx="5">
                  <c:v>567729.97000000009</c:v>
                </c:pt>
                <c:pt idx="6">
                  <c:v>573418.97999999986</c:v>
                </c:pt>
                <c:pt idx="7">
                  <c:v>505190.01999999996</c:v>
                </c:pt>
                <c:pt idx="8">
                  <c:v>540496.6399999999</c:v>
                </c:pt>
                <c:pt idx="9">
                  <c:v>532923.98999999987</c:v>
                </c:pt>
                <c:pt idx="10">
                  <c:v>541879.51000000013</c:v>
                </c:pt>
                <c:pt idx="11">
                  <c:v>601263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90-4927-8984-8955055C6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598528"/>
        <c:axId val="82616704"/>
        <c:axId val="0"/>
      </c:bar3DChart>
      <c:catAx>
        <c:axId val="825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616704"/>
        <c:crosses val="autoZero"/>
        <c:auto val="1"/>
        <c:lblAlgn val="ctr"/>
        <c:lblOffset val="100"/>
        <c:noMultiLvlLbl val="0"/>
      </c:catAx>
      <c:valAx>
        <c:axId val="82616704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59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2021-2020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2.7221461667030111E-2"/>
                  <c:y val="-4.0227034009769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3E-4E12-A8D7-8591B5134BCB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E-4E12-A8D7-8591B5134BCB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E-4E12-A8D7-8591B5134BCB}"/>
                </c:ext>
              </c:extLst>
            </c:dLbl>
            <c:dLbl>
              <c:idx val="4"/>
              <c:layout>
                <c:manualLayout>
                  <c:x val="0"/>
                  <c:y val="-3.9401103230890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ED-4849-A456-7E5FB27A29DA}"/>
                </c:ext>
              </c:extLst>
            </c:dLbl>
            <c:dLbl>
              <c:idx val="5"/>
              <c:layout>
                <c:manualLayout>
                  <c:x val="3.3148952711186332E-3"/>
                  <c:y val="-6.474190726159265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3E-4E12-A8D7-8591B5134BCB}"/>
                </c:ext>
              </c:extLst>
            </c:dLbl>
            <c:dLbl>
              <c:idx val="8"/>
              <c:layout>
                <c:manualLayout>
                  <c:x val="-2.1843599825252004E-3"/>
                  <c:y val="-3.940110323089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2B-42FE-A3A8-9D9BD4EFB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618959.99999999977</c:v>
                </c:pt>
                <c:pt idx="1">
                  <c:v>498470.26</c:v>
                </c:pt>
                <c:pt idx="2">
                  <c:v>547400.02000000014</c:v>
                </c:pt>
                <c:pt idx="3">
                  <c:v>566800</c:v>
                </c:pt>
                <c:pt idx="4">
                  <c:v>541640.00999999989</c:v>
                </c:pt>
                <c:pt idx="5">
                  <c:v>609488.57000000007</c:v>
                </c:pt>
                <c:pt idx="6">
                  <c:v>585970.05000000005</c:v>
                </c:pt>
                <c:pt idx="7">
                  <c:v>500221.00999999995</c:v>
                </c:pt>
                <c:pt idx="8">
                  <c:v>570779.9600000002</c:v>
                </c:pt>
                <c:pt idx="9">
                  <c:v>556520.01999999979</c:v>
                </c:pt>
                <c:pt idx="10">
                  <c:v>546339.98999999976</c:v>
                </c:pt>
                <c:pt idx="11">
                  <c:v>669765.96999999986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3E-4E12-A8D7-8591B5134BCB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3.9742485820842915E-2"/>
                  <c:y val="2.54567702695273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E-4E12-A8D7-8591B5134BCB}"/>
                </c:ext>
              </c:extLst>
            </c:dLbl>
            <c:dLbl>
              <c:idx val="1"/>
              <c:layout>
                <c:manualLayout>
                  <c:x val="-4.6092389668073663E-2"/>
                  <c:y val="2.5054567445491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3E-4E12-A8D7-8591B5134BCB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3E-4E12-A8D7-8591B5134BCB}"/>
                </c:ext>
              </c:extLst>
            </c:dLbl>
            <c:dLbl>
              <c:idx val="3"/>
              <c:layout>
                <c:manualLayout>
                  <c:x val="-1.6868885454600219E-2"/>
                  <c:y val="5.6391866205507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3E-4E12-A8D7-8591B5134BCB}"/>
                </c:ext>
              </c:extLst>
            </c:dLbl>
            <c:dLbl>
              <c:idx val="5"/>
              <c:layout>
                <c:manualLayout>
                  <c:x val="-4.3687199650502403E-3"/>
                  <c:y val="1.8254500102380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3E-4E12-A8D7-8591B5134BCB}"/>
                </c:ext>
              </c:extLst>
            </c:dLbl>
            <c:dLbl>
              <c:idx val="6"/>
              <c:layout>
                <c:manualLayout>
                  <c:x val="-3.3179052159765235E-3"/>
                  <c:y val="2.6134720748558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3E-4E12-A8D7-8591B5134BCB}"/>
                </c:ext>
              </c:extLst>
            </c:dLbl>
            <c:dLbl>
              <c:idx val="7"/>
              <c:layout>
                <c:manualLayout>
                  <c:x val="-4.3687199650503201E-3"/>
                  <c:y val="-3.940110323089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B4-46D9-B90F-98DCA0D1512B}"/>
                </c:ext>
              </c:extLst>
            </c:dLbl>
            <c:dLbl>
              <c:idx val="8"/>
              <c:layout>
                <c:manualLayout>
                  <c:x val="0"/>
                  <c:y val="-1.24969751121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8E-489C-B737-8CC8D34A978B}"/>
                </c:ext>
              </c:extLst>
            </c:dLbl>
            <c:dLbl>
              <c:idx val="9"/>
              <c:layout>
                <c:manualLayout>
                  <c:x val="-7.7390842199770897E-3"/>
                  <c:y val="1.0374279456202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3E-4E12-A8D7-8591B5134BCB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577979.99999999988</c:v>
                </c:pt>
                <c:pt idx="1">
                  <c:v>521609.99</c:v>
                </c:pt>
                <c:pt idx="2">
                  <c:v>552550.00000000012</c:v>
                </c:pt>
                <c:pt idx="3">
                  <c:v>522102</c:v>
                </c:pt>
                <c:pt idx="4">
                  <c:v>526460.98</c:v>
                </c:pt>
                <c:pt idx="5">
                  <c:v>567729.97000000009</c:v>
                </c:pt>
                <c:pt idx="6">
                  <c:v>573418.97999999986</c:v>
                </c:pt>
                <c:pt idx="7">
                  <c:v>505190.01999999996</c:v>
                </c:pt>
                <c:pt idx="8">
                  <c:v>540496.6399999999</c:v>
                </c:pt>
                <c:pt idx="9">
                  <c:v>532923.98999999987</c:v>
                </c:pt>
                <c:pt idx="10">
                  <c:v>541879.51000000013</c:v>
                </c:pt>
                <c:pt idx="11">
                  <c:v>601263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3E-4E12-A8D7-8591B5134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07264"/>
        <c:axId val="73308800"/>
      </c:lineChart>
      <c:catAx>
        <c:axId val="733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08800"/>
        <c:crosses val="autoZero"/>
        <c:auto val="1"/>
        <c:lblAlgn val="ctr"/>
        <c:lblOffset val="100"/>
        <c:noMultiLvlLbl val="0"/>
      </c:catAx>
      <c:valAx>
        <c:axId val="7330880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3072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porta,</a:t>
            </a:r>
            <a:r>
              <a:rPr lang="es-ES" sz="1600" baseline="0"/>
              <a:t> Mercat i Papereres.</a:t>
            </a:r>
            <a:r>
              <a:rPr lang="es-ES" sz="1600"/>
              <a:t> 2021-2020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 PORTA A PORTA'!$B$46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929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A3-4193-9D5A-221E3183EADB}"/>
                </c:ext>
              </c:extLst>
            </c:dLbl>
            <c:dLbl>
              <c:idx val="2"/>
              <c:layout>
                <c:manualLayout>
                  <c:x val="-9.5364238410596026E-3"/>
                  <c:y val="1.7985611510791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9-42AC-85FB-95B4FAE44B1A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A3-4193-9D5A-221E3183EADB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A3-4193-9D5A-221E3183EADB}"/>
                </c:ext>
              </c:extLst>
            </c:dLbl>
            <c:dLbl>
              <c:idx val="7"/>
              <c:layout>
                <c:manualLayout>
                  <c:x val="-7.41721854304635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9-42AC-85FB-95B4FAE44B1A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A3-4193-9D5A-221E3183EADB}"/>
                </c:ext>
              </c:extLst>
            </c:dLbl>
            <c:dLbl>
              <c:idx val="10"/>
              <c:layout>
                <c:manualLayout>
                  <c:x val="-3.1788079470198741E-3"/>
                  <c:y val="-1.3489208633093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9-42AC-85FB-95B4FAE44B1A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154976</c:v>
                </c:pt>
                <c:pt idx="1">
                  <c:v>139800</c:v>
                </c:pt>
                <c:pt idx="2">
                  <c:v>106340</c:v>
                </c:pt>
                <c:pt idx="3">
                  <c:v>87840</c:v>
                </c:pt>
                <c:pt idx="4">
                  <c:v>107610</c:v>
                </c:pt>
                <c:pt idx="5">
                  <c:v>131351.43</c:v>
                </c:pt>
                <c:pt idx="6">
                  <c:v>158280</c:v>
                </c:pt>
                <c:pt idx="7">
                  <c:v>100841</c:v>
                </c:pt>
                <c:pt idx="8">
                  <c:v>149520</c:v>
                </c:pt>
                <c:pt idx="9">
                  <c:v>142480</c:v>
                </c:pt>
                <c:pt idx="10">
                  <c:v>125420</c:v>
                </c:pt>
                <c:pt idx="11">
                  <c:v>155280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3-4193-9D5A-221E3183EADB}"/>
            </c:ext>
          </c:extLst>
        </c:ser>
        <c:ser>
          <c:idx val="41"/>
          <c:order val="1"/>
          <c:tx>
            <c:strRef>
              <c:f>'PAPER I CARTRÓ PORTA A PORTA'!$B$45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A3-4193-9D5A-221E3183EADB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A3-4193-9D5A-221E3183EADB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A3-4193-9D5A-221E3183EADB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A3-4193-9D5A-221E3183EADB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A3-4193-9D5A-221E3183EADB}"/>
                </c:ext>
              </c:extLst>
            </c:dLbl>
            <c:dLbl>
              <c:idx val="9"/>
              <c:layout>
                <c:manualLayout>
                  <c:x val="4.1617354122125494E-3"/>
                  <c:y val="-4.60686568855153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PORTA'!$C$45:$N$45</c:f>
              <c:numCache>
                <c:formatCode>#,##0</c:formatCode>
                <c:ptCount val="12"/>
                <c:pt idx="0">
                  <c:v>125720</c:v>
                </c:pt>
                <c:pt idx="1">
                  <c:v>118430</c:v>
                </c:pt>
                <c:pt idx="2">
                  <c:v>132600</c:v>
                </c:pt>
                <c:pt idx="3">
                  <c:v>120220</c:v>
                </c:pt>
                <c:pt idx="4">
                  <c:v>125180</c:v>
                </c:pt>
                <c:pt idx="5">
                  <c:v>136680</c:v>
                </c:pt>
                <c:pt idx="6">
                  <c:v>133820</c:v>
                </c:pt>
                <c:pt idx="7">
                  <c:v>100200</c:v>
                </c:pt>
                <c:pt idx="8">
                  <c:v>137147.37</c:v>
                </c:pt>
                <c:pt idx="9">
                  <c:v>128480</c:v>
                </c:pt>
                <c:pt idx="10">
                  <c:v>119420</c:v>
                </c:pt>
                <c:pt idx="11">
                  <c:v>148800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A3-4193-9D5A-221E3183E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2787328"/>
        <c:axId val="82793216"/>
        <c:axId val="0"/>
      </c:bar3DChart>
      <c:catAx>
        <c:axId val="827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793216"/>
        <c:crosses val="autoZero"/>
        <c:auto val="1"/>
        <c:lblAlgn val="ctr"/>
        <c:lblOffset val="100"/>
        <c:noMultiLvlLbl val="0"/>
      </c:catAx>
      <c:valAx>
        <c:axId val="82793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787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Cartró.Porta a porta, Mercat i Papereres. 2021-2020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 PORTA A PORTA'!$B$46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4.2909285017362825E-2"/>
                  <c:y val="-3.6143919808923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9-490A-BCC5-E967701FD0CF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9-490A-BCC5-E967701FD0CF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9-490A-BCC5-E967701FD0CF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9-490A-BCC5-E967701FD0CF}"/>
                </c:ext>
              </c:extLst>
            </c:dLbl>
            <c:dLbl>
              <c:idx val="6"/>
              <c:layout>
                <c:manualLayout>
                  <c:x val="-2.549930685269846E-2"/>
                  <c:y val="-3.4192401481729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E2-42EA-895C-FEC1AEA98FE3}"/>
                </c:ext>
              </c:extLst>
            </c:dLbl>
            <c:dLbl>
              <c:idx val="9"/>
              <c:layout>
                <c:manualLayout>
                  <c:x val="-7.5156603131030638E-3"/>
                  <c:y val="-1.5083797149469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2-42EA-895C-FEC1AEA98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154976</c:v>
                </c:pt>
                <c:pt idx="1">
                  <c:v>139800</c:v>
                </c:pt>
                <c:pt idx="2">
                  <c:v>106340</c:v>
                </c:pt>
                <c:pt idx="3">
                  <c:v>87840</c:v>
                </c:pt>
                <c:pt idx="4">
                  <c:v>107610</c:v>
                </c:pt>
                <c:pt idx="5">
                  <c:v>131351.43</c:v>
                </c:pt>
                <c:pt idx="6">
                  <c:v>158280</c:v>
                </c:pt>
                <c:pt idx="7">
                  <c:v>100841</c:v>
                </c:pt>
                <c:pt idx="8">
                  <c:v>149520</c:v>
                </c:pt>
                <c:pt idx="9">
                  <c:v>142480</c:v>
                </c:pt>
                <c:pt idx="10">
                  <c:v>125420</c:v>
                </c:pt>
                <c:pt idx="11">
                  <c:v>155280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9-490A-BCC5-E967701FD0CF}"/>
            </c:ext>
          </c:extLst>
        </c:ser>
        <c:ser>
          <c:idx val="41"/>
          <c:order val="1"/>
          <c:tx>
            <c:strRef>
              <c:f>'PAPER I CARTRÓ PORTA A PORTA'!$B$45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4.706347005099832E-2"/>
                  <c:y val="-3.1706828542318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9-490A-BCC5-E967701FD0CF}"/>
                </c:ext>
              </c:extLst>
            </c:dLbl>
            <c:dLbl>
              <c:idx val="1"/>
              <c:layout>
                <c:manualLayout>
                  <c:x val="-1.9946017417519123E-2"/>
                  <c:y val="3.730391004802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B9-490A-BCC5-E967701FD0CF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B9-490A-BCC5-E967701FD0CF}"/>
                </c:ext>
              </c:extLst>
            </c:dLbl>
            <c:dLbl>
              <c:idx val="3"/>
              <c:layout>
                <c:manualLayout>
                  <c:x val="-6.2711745601532814E-3"/>
                  <c:y val="3.6268438288893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B9-490A-BCC5-E967701FD0CF}"/>
                </c:ext>
              </c:extLst>
            </c:dLbl>
            <c:dLbl>
              <c:idx val="4"/>
              <c:layout>
                <c:manualLayout>
                  <c:x val="-9.5379398050021227E-3"/>
                  <c:y val="-5.232122948757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B9-490A-BCC5-E967701FD0CF}"/>
                </c:ext>
              </c:extLst>
            </c:dLbl>
            <c:dLbl>
              <c:idx val="5"/>
              <c:layout>
                <c:manualLayout>
                  <c:x val="-2.2255192878338291E-2"/>
                  <c:y val="-3.296691804570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B9-490A-BCC5-E967701FD0CF}"/>
                </c:ext>
              </c:extLst>
            </c:dLbl>
            <c:dLbl>
              <c:idx val="6"/>
              <c:layout>
                <c:manualLayout>
                  <c:x val="-1.4239705128602124E-2"/>
                  <c:y val="2.6134720748558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B9-490A-BCC5-E967701FD0CF}"/>
                </c:ext>
              </c:extLst>
            </c:dLbl>
            <c:dLbl>
              <c:idx val="7"/>
              <c:layout>
                <c:manualLayout>
                  <c:x val="-1.1657565430433881E-2"/>
                  <c:y val="-5.2320896002474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E2-42EA-895C-FEC1AEA98FE3}"/>
                </c:ext>
              </c:extLst>
            </c:dLbl>
            <c:dLbl>
              <c:idx val="8"/>
              <c:layout>
                <c:manualLayout>
                  <c:x val="-1.0597710894446798E-2"/>
                  <c:y val="-2.4148105847295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2-42EA-895C-FEC1AEA98FE3}"/>
                </c:ext>
              </c:extLst>
            </c:dLbl>
            <c:dLbl>
              <c:idx val="9"/>
              <c:layout>
                <c:manualLayout>
                  <c:x val="-9.9234442025022095E-3"/>
                  <c:y val="3.0074831071648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B9-490A-BCC5-E967701FD0CF}"/>
                </c:ext>
              </c:extLst>
            </c:dLbl>
            <c:dLbl>
              <c:idx val="10"/>
              <c:layout>
                <c:manualLayout>
                  <c:x val="0"/>
                  <c:y val="2.0123421539413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E2-42EA-895C-FEC1AEA98FE3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9-490A-BCC5-E967701FD0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PORTA'!$C$45:$N$45</c:f>
              <c:numCache>
                <c:formatCode>#,##0</c:formatCode>
                <c:ptCount val="12"/>
                <c:pt idx="0">
                  <c:v>125720</c:v>
                </c:pt>
                <c:pt idx="1">
                  <c:v>118430</c:v>
                </c:pt>
                <c:pt idx="2">
                  <c:v>132600</c:v>
                </c:pt>
                <c:pt idx="3">
                  <c:v>120220</c:v>
                </c:pt>
                <c:pt idx="4">
                  <c:v>125180</c:v>
                </c:pt>
                <c:pt idx="5">
                  <c:v>136680</c:v>
                </c:pt>
                <c:pt idx="6">
                  <c:v>133820</c:v>
                </c:pt>
                <c:pt idx="7">
                  <c:v>100200</c:v>
                </c:pt>
                <c:pt idx="8">
                  <c:v>137147.37</c:v>
                </c:pt>
                <c:pt idx="9">
                  <c:v>128480</c:v>
                </c:pt>
                <c:pt idx="10">
                  <c:v>119420</c:v>
                </c:pt>
                <c:pt idx="11">
                  <c:v>148800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6B9-490A-BCC5-E967701F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6592"/>
        <c:axId val="84048128"/>
      </c:lineChart>
      <c:catAx>
        <c:axId val="8404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8128"/>
        <c:crosses val="autoZero"/>
        <c:auto val="1"/>
        <c:lblAlgn val="ctr"/>
        <c:lblOffset val="100"/>
        <c:noMultiLvlLbl val="0"/>
      </c:catAx>
      <c:valAx>
        <c:axId val="84048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65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2021-2020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rgbClr val="BC8F00"/>
            </a:solidFill>
          </c:spPr>
          <c:invertIfNegative val="0"/>
          <c:dLbls>
            <c:dLbl>
              <c:idx val="4"/>
              <c:layout>
                <c:manualLayout>
                  <c:x val="-1.0028709667368499E-2"/>
                  <c:y val="-4.5016995826341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599779.97999999986</c:v>
                </c:pt>
                <c:pt idx="1">
                  <c:v>528459.96999999986</c:v>
                </c:pt>
                <c:pt idx="2">
                  <c:v>601019.99999999988</c:v>
                </c:pt>
                <c:pt idx="3">
                  <c:v>634699.9800000001</c:v>
                </c:pt>
                <c:pt idx="4">
                  <c:v>634400.0199999999</c:v>
                </c:pt>
                <c:pt idx="5">
                  <c:v>670300.01999999979</c:v>
                </c:pt>
                <c:pt idx="6">
                  <c:v>649720.17000000004</c:v>
                </c:pt>
                <c:pt idx="7">
                  <c:v>585680.02</c:v>
                </c:pt>
                <c:pt idx="8">
                  <c:v>610300.00999999989</c:v>
                </c:pt>
                <c:pt idx="9">
                  <c:v>632939.98999999987</c:v>
                </c:pt>
                <c:pt idx="10">
                  <c:v>622380.02000000014</c:v>
                </c:pt>
                <c:pt idx="11">
                  <c:v>661420.01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9-4D9A-915B-1E765321DBD2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1.484018264840241E-2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89-4D9A-915B-1E765321DBD2}"/>
                </c:ext>
              </c:extLst>
            </c:dLbl>
            <c:dLbl>
              <c:idx val="3"/>
              <c:layout>
                <c:manualLayout>
                  <c:x val="2.1652832297023267E-3"/>
                  <c:y val="-3.175803024479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14-4B98-8338-76A4026994F2}"/>
                </c:ext>
              </c:extLst>
            </c:dLbl>
            <c:dLbl>
              <c:idx val="4"/>
              <c:layout>
                <c:manualLayout>
                  <c:x val="-8.2908407224641214E-17"/>
                  <c:y val="-2.185792349726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68-40C2-91ED-BF550D605C77}"/>
                </c:ext>
              </c:extLst>
            </c:dLbl>
            <c:dLbl>
              <c:idx val="5"/>
              <c:layout>
                <c:manualLayout>
                  <c:x val="4.0394724542981326E-3"/>
                  <c:y val="-4.371584699453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89-4D9A-915B-1E765321DBD2}"/>
                </c:ext>
              </c:extLst>
            </c:dLbl>
            <c:dLbl>
              <c:idx val="6"/>
              <c:layout>
                <c:manualLayout>
                  <c:x val="9.1324200913242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611420.00000000012</c:v>
                </c:pt>
                <c:pt idx="1">
                  <c:v>573540</c:v>
                </c:pt>
                <c:pt idx="2">
                  <c:v>653820.03</c:v>
                </c:pt>
                <c:pt idx="3">
                  <c:v>637280.00999999989</c:v>
                </c:pt>
                <c:pt idx="4">
                  <c:v>644292.0199999999</c:v>
                </c:pt>
                <c:pt idx="5">
                  <c:v>653300</c:v>
                </c:pt>
                <c:pt idx="6">
                  <c:v>661860</c:v>
                </c:pt>
                <c:pt idx="7">
                  <c:v>608320.0199999999</c:v>
                </c:pt>
                <c:pt idx="8">
                  <c:v>637879.98999999976</c:v>
                </c:pt>
                <c:pt idx="9">
                  <c:v>626370</c:v>
                </c:pt>
                <c:pt idx="10">
                  <c:v>647540.02</c:v>
                </c:pt>
                <c:pt idx="11">
                  <c:v>635061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89-4D9A-915B-1E765321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4266368"/>
        <c:axId val="84268160"/>
        <c:axId val="0"/>
      </c:bar3DChart>
      <c:catAx>
        <c:axId val="842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68160"/>
        <c:crosses val="autoZero"/>
        <c:auto val="1"/>
        <c:lblAlgn val="ctr"/>
        <c:lblOffset val="100"/>
        <c:noMultiLvlLbl val="0"/>
      </c:catAx>
      <c:valAx>
        <c:axId val="84268160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66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2021-2020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ENVASOS!$B$47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3.5200276200159641E-2"/>
                  <c:y val="-1.2883528287287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6A-4249-84E3-247D4BFA32F0}"/>
                </c:ext>
              </c:extLst>
            </c:dLbl>
            <c:dLbl>
              <c:idx val="3"/>
              <c:layout>
                <c:manualLayout>
                  <c:x val="-3.9657043006791932E-17"/>
                  <c:y val="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F2-4F3C-B268-C70F4F6D74DF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6A-4249-84E3-247D4BFA32F0}"/>
                </c:ext>
              </c:extLst>
            </c:dLbl>
            <c:dLbl>
              <c:idx val="5"/>
              <c:layout>
                <c:manualLayout>
                  <c:x val="-4.5176469249054076E-3"/>
                  <c:y val="-8.9053813747104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7-4D77-BC23-9E809329F5E2}"/>
                </c:ext>
              </c:extLst>
            </c:dLbl>
            <c:dLbl>
              <c:idx val="6"/>
              <c:layout>
                <c:manualLayout>
                  <c:x val="-1.8070587699621301E-2"/>
                  <c:y val="3.562152549884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57-4D77-BC23-9E809329F5E2}"/>
                </c:ext>
              </c:extLst>
            </c:dLbl>
            <c:dLbl>
              <c:idx val="9"/>
              <c:layout>
                <c:manualLayout>
                  <c:x val="-1.1294117312263313E-3"/>
                  <c:y val="-3.116883481148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87-4CCA-BAF4-3AEE344C2C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599779.97999999986</c:v>
                </c:pt>
                <c:pt idx="1">
                  <c:v>528459.96999999986</c:v>
                </c:pt>
                <c:pt idx="2">
                  <c:v>601019.99999999988</c:v>
                </c:pt>
                <c:pt idx="3">
                  <c:v>634699.9800000001</c:v>
                </c:pt>
                <c:pt idx="4">
                  <c:v>634400.0199999999</c:v>
                </c:pt>
                <c:pt idx="5">
                  <c:v>670300.01999999979</c:v>
                </c:pt>
                <c:pt idx="6">
                  <c:v>649720.17000000004</c:v>
                </c:pt>
                <c:pt idx="7">
                  <c:v>585680.02</c:v>
                </c:pt>
                <c:pt idx="8">
                  <c:v>610300.00999999989</c:v>
                </c:pt>
                <c:pt idx="9">
                  <c:v>632939.98999999987</c:v>
                </c:pt>
                <c:pt idx="10">
                  <c:v>622380.02000000014</c:v>
                </c:pt>
                <c:pt idx="11">
                  <c:v>661420.01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A-4249-84E3-247D4BFA32F0}"/>
            </c:ext>
          </c:extLst>
        </c:ser>
        <c:ser>
          <c:idx val="41"/>
          <c:order val="1"/>
          <c:tx>
            <c:strRef>
              <c:f>ENVASOS!$B$46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2.0235374791915246E-2"/>
                  <c:y val="-4.0133630695007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6A-4249-84E3-247D4BFA32F0}"/>
                </c:ext>
              </c:extLst>
            </c:dLbl>
            <c:dLbl>
              <c:idx val="1"/>
              <c:layout>
                <c:manualLayout>
                  <c:x val="-2.8134484746439075E-2"/>
                  <c:y val="-5.565408948158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6A-4249-84E3-247D4BFA32F0}"/>
                </c:ext>
              </c:extLst>
            </c:dLbl>
            <c:dLbl>
              <c:idx val="3"/>
              <c:layout>
                <c:manualLayout>
                  <c:x val="-2.1632215880333931E-3"/>
                  <c:y val="-3.6994219653179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2-4F3C-B268-C70F4F6D74DF}"/>
                </c:ext>
              </c:extLst>
            </c:dLbl>
            <c:dLbl>
              <c:idx val="4"/>
              <c:layout>
                <c:manualLayout>
                  <c:x val="-1.4827486359907769E-2"/>
                  <c:y val="4.0094200703455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6A-4249-84E3-247D4BFA32F0}"/>
                </c:ext>
              </c:extLst>
            </c:dLbl>
            <c:dLbl>
              <c:idx val="5"/>
              <c:layout>
                <c:manualLayout>
                  <c:x val="1.060579866661829E-3"/>
                  <c:y val="9.6150070401597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6A-4249-84E3-247D4BFA32F0}"/>
                </c:ext>
              </c:extLst>
            </c:dLbl>
            <c:dLbl>
              <c:idx val="6"/>
              <c:layout>
                <c:manualLayout>
                  <c:x val="4.5399683693571214E-3"/>
                  <c:y val="1.3397690491016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6A-4249-84E3-247D4BFA32F0}"/>
                </c:ext>
              </c:extLst>
            </c:dLbl>
            <c:dLbl>
              <c:idx val="8"/>
              <c:layout>
                <c:manualLayout>
                  <c:x val="0"/>
                  <c:y val="-3.643264192593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6A-4249-84E3-247D4BFA32F0}"/>
                </c:ext>
              </c:extLst>
            </c:dLbl>
            <c:dLbl>
              <c:idx val="9"/>
              <c:layout>
                <c:manualLayout>
                  <c:x val="-2.2588234624526626E-3"/>
                  <c:y val="3.1168834811486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87-4CCA-BAF4-3AEE344C2CBD}"/>
                </c:ext>
              </c:extLst>
            </c:dLbl>
            <c:dLbl>
              <c:idx val="10"/>
              <c:layout>
                <c:manualLayout>
                  <c:x val="0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6A-4249-84E3-247D4BFA32F0}"/>
                </c:ext>
              </c:extLst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6A-4249-84E3-247D4BFA3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611420.00000000012</c:v>
                </c:pt>
                <c:pt idx="1">
                  <c:v>573540</c:v>
                </c:pt>
                <c:pt idx="2">
                  <c:v>653820.03</c:v>
                </c:pt>
                <c:pt idx="3">
                  <c:v>637280.00999999989</c:v>
                </c:pt>
                <c:pt idx="4">
                  <c:v>644292.0199999999</c:v>
                </c:pt>
                <c:pt idx="5">
                  <c:v>653300</c:v>
                </c:pt>
                <c:pt idx="6">
                  <c:v>661860</c:v>
                </c:pt>
                <c:pt idx="7">
                  <c:v>608320.0199999999</c:v>
                </c:pt>
                <c:pt idx="8">
                  <c:v>637879.98999999976</c:v>
                </c:pt>
                <c:pt idx="9">
                  <c:v>626370</c:v>
                </c:pt>
                <c:pt idx="10">
                  <c:v>647540.02</c:v>
                </c:pt>
                <c:pt idx="11">
                  <c:v>635061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6A-4249-84E3-247D4BFA3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0048"/>
        <c:axId val="84211584"/>
      </c:lineChart>
      <c:catAx>
        <c:axId val="842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11584"/>
        <c:crosses val="autoZero"/>
        <c:auto val="1"/>
        <c:lblAlgn val="ctr"/>
        <c:lblOffset val="100"/>
        <c:noMultiLvlLbl val="0"/>
      </c:catAx>
      <c:valAx>
        <c:axId val="84211584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2100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2021-2020</a:t>
            </a:r>
          </a:p>
        </c:rich>
      </c:tx>
      <c:layout>
        <c:manualLayout>
          <c:xMode val="edge"/>
          <c:yMode val="edge"/>
          <c:x val="0.44579961695807324"/>
          <c:y val="2.3801655370771696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VIDRE!$B$48</c:f>
              <c:strCache>
                <c:ptCount val="1"/>
                <c:pt idx="0">
                  <c:v>TOTAL MENSUAL 2020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4-4EFC-8C2D-37E83157B4B7}"/>
                </c:ext>
              </c:extLst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4-4EFC-8C2D-37E83157B4B7}"/>
                </c:ext>
              </c:extLst>
            </c:dLbl>
            <c:dLbl>
              <c:idx val="5"/>
              <c:layout>
                <c:manualLayout>
                  <c:x val="5.1085568326947684E-3"/>
                  <c:y val="-3.476387853058892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4-4EFC-8C2D-37E83157B4B7}"/>
                </c:ext>
              </c:extLst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VIDRE!$C$48:$N$48</c:f>
              <c:numCache>
                <c:formatCode>#,##0</c:formatCode>
                <c:ptCount val="12"/>
                <c:pt idx="0">
                  <c:v>726420.00000000012</c:v>
                </c:pt>
                <c:pt idx="1">
                  <c:v>449399.99000000011</c:v>
                </c:pt>
                <c:pt idx="2">
                  <c:v>555159.99999999977</c:v>
                </c:pt>
                <c:pt idx="3">
                  <c:v>510319.98999999993</c:v>
                </c:pt>
                <c:pt idx="4">
                  <c:v>465120.02</c:v>
                </c:pt>
                <c:pt idx="5">
                  <c:v>611160.01000000013</c:v>
                </c:pt>
                <c:pt idx="6">
                  <c:v>671139.98</c:v>
                </c:pt>
                <c:pt idx="7">
                  <c:v>550080.00000000023</c:v>
                </c:pt>
                <c:pt idx="8">
                  <c:v>554559.98999999987</c:v>
                </c:pt>
                <c:pt idx="9">
                  <c:v>484320.0199999999</c:v>
                </c:pt>
                <c:pt idx="10">
                  <c:v>515559.98999999993</c:v>
                </c:pt>
                <c:pt idx="11">
                  <c:v>617980.03000000026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4-4EFC-8C2D-37E83157B4B7}"/>
            </c:ext>
          </c:extLst>
        </c:ser>
        <c:ser>
          <c:idx val="41"/>
          <c:order val="1"/>
          <c:tx>
            <c:strRef>
              <c:f>VIDRE!$B$47</c:f>
              <c:strCache>
                <c:ptCount val="1"/>
                <c:pt idx="0">
                  <c:v>TOTAL MENSUAL 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24-4EFC-8C2D-37E83157B4B7}"/>
                </c:ext>
              </c:extLst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24-4EFC-8C2D-37E83157B4B7}"/>
                </c:ext>
              </c:extLst>
            </c:dLbl>
            <c:dLbl>
              <c:idx val="3"/>
              <c:layout>
                <c:manualLayout>
                  <c:x val="6.7510548523206804E-3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24-4EFC-8C2D-37E83157B4B7}"/>
                </c:ext>
              </c:extLst>
            </c:dLbl>
            <c:dLbl>
              <c:idx val="4"/>
              <c:layout>
                <c:manualLayout>
                  <c:x val="6.7510548523206804E-3"/>
                  <c:y val="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24-4EFC-8C2D-37E83157B4B7}"/>
                </c:ext>
              </c:extLst>
            </c:dLbl>
            <c:dLbl>
              <c:idx val="5"/>
              <c:layout>
                <c:manualLayout>
                  <c:x val="5.6258790436005714E-3"/>
                  <c:y val="-1.29449838187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24-4EFC-8C2D-37E83157B4B7}"/>
                </c:ext>
              </c:extLst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24-4EFC-8C2D-37E83157B4B7}"/>
                </c:ext>
              </c:extLst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24-4EFC-8C2D-37E83157B4B7}"/>
                </c:ext>
              </c:extLst>
            </c:dLbl>
            <c:dLbl>
              <c:idx val="10"/>
              <c:layout>
                <c:manualLayout>
                  <c:x val="8.53105838443081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7A-4BC8-BCC1-1579635832A5}"/>
                </c:ext>
              </c:extLst>
            </c:dLbl>
            <c:dLbl>
              <c:idx val="11"/>
              <c:layout>
                <c:manualLayout>
                  <c:x val="2.0253164556962036E-2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627259.98</c:v>
                </c:pt>
                <c:pt idx="1">
                  <c:v>459300</c:v>
                </c:pt>
                <c:pt idx="2">
                  <c:v>548899.9800000001</c:v>
                </c:pt>
                <c:pt idx="3">
                  <c:v>625180.02000000014</c:v>
                </c:pt>
                <c:pt idx="4">
                  <c:v>455239.99000000017</c:v>
                </c:pt>
                <c:pt idx="5">
                  <c:v>541920.00999999989</c:v>
                </c:pt>
                <c:pt idx="6">
                  <c:v>602060.00999999989</c:v>
                </c:pt>
                <c:pt idx="7">
                  <c:v>566870.00999999966</c:v>
                </c:pt>
                <c:pt idx="8">
                  <c:v>591860</c:v>
                </c:pt>
                <c:pt idx="9">
                  <c:v>512980.00000000012</c:v>
                </c:pt>
                <c:pt idx="10">
                  <c:v>554660.13000000012</c:v>
                </c:pt>
                <c:pt idx="11">
                  <c:v>561589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24-4EFC-8C2D-37E83157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84912768"/>
        <c:axId val="84935040"/>
        <c:axId val="0"/>
      </c:bar3DChart>
      <c:catAx>
        <c:axId val="849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35040"/>
        <c:crosses val="autoZero"/>
        <c:auto val="1"/>
        <c:lblAlgn val="ctr"/>
        <c:lblOffset val="100"/>
        <c:noMultiLvlLbl val="0"/>
      </c:catAx>
      <c:valAx>
        <c:axId val="8493504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12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2021-2020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VIDRE!$B$48</c:f>
              <c:strCache>
                <c:ptCount val="1"/>
                <c:pt idx="0">
                  <c:v>TOTAL MENSUAL 2020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0C-48CF-B8B9-55B09869127B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C-48CF-B8B9-55B09869127B}"/>
                </c:ext>
              </c:extLst>
            </c:dLbl>
            <c:dLbl>
              <c:idx val="4"/>
              <c:layout>
                <c:manualLayout>
                  <c:x val="-2.1194794470915854E-2"/>
                  <c:y val="-5.3473098579414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C-48CF-B8B9-55B09869127B}"/>
                </c:ext>
              </c:extLst>
            </c:dLbl>
            <c:dLbl>
              <c:idx val="6"/>
              <c:layout>
                <c:manualLayout>
                  <c:x val="0"/>
                  <c:y val="-2.359882005899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C-48CF-B8B9-55B09869127B}"/>
                </c:ext>
              </c:extLst>
            </c:dLbl>
            <c:dLbl>
              <c:idx val="8"/>
              <c:layout>
                <c:manualLayout>
                  <c:x val="-1.6051364365971106E-2"/>
                  <c:y val="3.62051664107282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8F-448A-9E24-F2633BEB50E0}"/>
                </c:ext>
              </c:extLst>
            </c:dLbl>
            <c:dLbl>
              <c:idx val="9"/>
              <c:layout>
                <c:manualLayout>
                  <c:x val="0"/>
                  <c:y val="2.359882005899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43-44C6-86FB-C0AE1FC6A0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VIDRE!$C$48:$N$48</c:f>
              <c:numCache>
                <c:formatCode>#,##0</c:formatCode>
                <c:ptCount val="12"/>
                <c:pt idx="0">
                  <c:v>726420.00000000012</c:v>
                </c:pt>
                <c:pt idx="1">
                  <c:v>449399.99000000011</c:v>
                </c:pt>
                <c:pt idx="2">
                  <c:v>555159.99999999977</c:v>
                </c:pt>
                <c:pt idx="3">
                  <c:v>510319.98999999993</c:v>
                </c:pt>
                <c:pt idx="4">
                  <c:v>465120.02</c:v>
                </c:pt>
                <c:pt idx="5">
                  <c:v>611160.01000000013</c:v>
                </c:pt>
                <c:pt idx="6">
                  <c:v>671139.98</c:v>
                </c:pt>
                <c:pt idx="7">
                  <c:v>550080.00000000023</c:v>
                </c:pt>
                <c:pt idx="8">
                  <c:v>554559.98999999987</c:v>
                </c:pt>
                <c:pt idx="9">
                  <c:v>484320.0199999999</c:v>
                </c:pt>
                <c:pt idx="10">
                  <c:v>515559.98999999993</c:v>
                </c:pt>
                <c:pt idx="11">
                  <c:v>617980.03000000026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0C-48CF-B8B9-55B09869127B}"/>
            </c:ext>
          </c:extLst>
        </c:ser>
        <c:ser>
          <c:idx val="41"/>
          <c:order val="1"/>
          <c:tx>
            <c:strRef>
              <c:f>VIDRE!$B$47</c:f>
              <c:strCache>
                <c:ptCount val="1"/>
                <c:pt idx="0">
                  <c:v>TOTAL MENSUAL 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8.6306627401911719E-4"/>
                  <c:y val="-2.35349419450314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0C-48CF-B8B9-55B09869127B}"/>
                </c:ext>
              </c:extLst>
            </c:dLbl>
            <c:dLbl>
              <c:idx val="2"/>
              <c:layout>
                <c:manualLayout>
                  <c:x val="-1.4442055702176281E-2"/>
                  <c:y val="3.505112527058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0C-48CF-B8B9-55B09869127B}"/>
                </c:ext>
              </c:extLst>
            </c:dLbl>
            <c:dLbl>
              <c:idx val="3"/>
              <c:layout>
                <c:manualLayout>
                  <c:x val="-9.9502487562189747E-3"/>
                  <c:y val="-5.113077679449361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6C-4FB1-A442-A283D7C5CADD}"/>
                </c:ext>
              </c:extLst>
            </c:dLbl>
            <c:dLbl>
              <c:idx val="6"/>
              <c:layout>
                <c:manualLayout>
                  <c:x val="-2.2637238256933857E-3"/>
                  <c:y val="-3.5398230088495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C-48CF-B8B9-55B09869127B}"/>
                </c:ext>
              </c:extLst>
            </c:dLbl>
            <c:dLbl>
              <c:idx val="7"/>
              <c:layout>
                <c:manualLayout>
                  <c:x val="0"/>
                  <c:y val="-2.4136777607152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8F-448A-9E24-F2633BEB50E0}"/>
                </c:ext>
              </c:extLst>
            </c:dLbl>
            <c:dLbl>
              <c:idx val="8"/>
              <c:layout>
                <c:manualLayout>
                  <c:x val="0"/>
                  <c:y val="-3.9331366764995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C-48CF-B8B9-55B09869127B}"/>
                </c:ext>
              </c:extLst>
            </c:dLbl>
            <c:dLbl>
              <c:idx val="9"/>
              <c:layout>
                <c:manualLayout>
                  <c:x val="0"/>
                  <c:y val="2.3688568416678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0C-48CF-B8B9-55B09869127B}"/>
                </c:ext>
              </c:extLst>
            </c:dLbl>
            <c:dLbl>
              <c:idx val="10"/>
              <c:layout>
                <c:manualLayout>
                  <c:x val="-1.0723860589812537E-3"/>
                  <c:y val="2.011397496807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8F-448A-9E24-F2633BEB50E0}"/>
                </c:ext>
              </c:extLst>
            </c:dLbl>
            <c:dLbl>
              <c:idx val="11"/>
              <c:layout>
                <c:manualLayout>
                  <c:x val="-2.2637238256933857E-3"/>
                  <c:y val="-5.1130776794493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0C-48CF-B8B9-55B098691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VIDRE!$C$47:$N$47</c:f>
              <c:numCache>
                <c:formatCode>#,##0</c:formatCode>
                <c:ptCount val="12"/>
                <c:pt idx="0">
                  <c:v>627259.98</c:v>
                </c:pt>
                <c:pt idx="1">
                  <c:v>459300</c:v>
                </c:pt>
                <c:pt idx="2">
                  <c:v>548899.9800000001</c:v>
                </c:pt>
                <c:pt idx="3">
                  <c:v>625180.02000000014</c:v>
                </c:pt>
                <c:pt idx="4">
                  <c:v>455239.99000000017</c:v>
                </c:pt>
                <c:pt idx="5">
                  <c:v>541920.00999999989</c:v>
                </c:pt>
                <c:pt idx="6">
                  <c:v>602060.00999999989</c:v>
                </c:pt>
                <c:pt idx="7">
                  <c:v>566870.00999999966</c:v>
                </c:pt>
                <c:pt idx="8">
                  <c:v>591860</c:v>
                </c:pt>
                <c:pt idx="9">
                  <c:v>512980.00000000012</c:v>
                </c:pt>
                <c:pt idx="10">
                  <c:v>554660.13000000012</c:v>
                </c:pt>
                <c:pt idx="11">
                  <c:v>561589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0C-48CF-B8B9-55B09869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6480"/>
        <c:axId val="84998016"/>
      </c:lineChart>
      <c:catAx>
        <c:axId val="849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98016"/>
        <c:crosses val="autoZero"/>
        <c:auto val="1"/>
        <c:lblAlgn val="ctr"/>
        <c:lblOffset val="100"/>
        <c:noMultiLvlLbl val="0"/>
      </c:catAx>
      <c:valAx>
        <c:axId val="84998016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9964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39</xdr:row>
      <xdr:rowOff>160020</xdr:rowOff>
    </xdr:from>
    <xdr:to>
      <xdr:col>7</xdr:col>
      <xdr:colOff>655320</xdr:colOff>
      <xdr:row>56</xdr:row>
      <xdr:rowOff>121920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81915</xdr:rowOff>
    </xdr:from>
    <xdr:to>
      <xdr:col>14</xdr:col>
      <xdr:colOff>581025</xdr:colOff>
      <xdr:row>65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14</xdr:col>
      <xdr:colOff>579120</xdr:colOff>
      <xdr:row>82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35982</xdr:colOff>
      <xdr:row>52</xdr:row>
      <xdr:rowOff>26458</xdr:rowOff>
    </xdr:from>
    <xdr:to>
      <xdr:col>14</xdr:col>
      <xdr:colOff>378882</xdr:colOff>
      <xdr:row>67</xdr:row>
      <xdr:rowOff>74083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23283</xdr:colOff>
      <xdr:row>68</xdr:row>
      <xdr:rowOff>135467</xdr:rowOff>
    </xdr:from>
    <xdr:to>
      <xdr:col>14</xdr:col>
      <xdr:colOff>377825</xdr:colOff>
      <xdr:row>83</xdr:row>
      <xdr:rowOff>130175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185208</xdr:rowOff>
    </xdr:from>
    <xdr:to>
      <xdr:col>14</xdr:col>
      <xdr:colOff>504825</xdr:colOff>
      <xdr:row>69</xdr:row>
      <xdr:rowOff>84666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27517</xdr:colOff>
      <xdr:row>70</xdr:row>
      <xdr:rowOff>178858</xdr:rowOff>
    </xdr:from>
    <xdr:to>
      <xdr:col>14</xdr:col>
      <xdr:colOff>465667</xdr:colOff>
      <xdr:row>87</xdr:row>
      <xdr:rowOff>169333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50</xdr:row>
      <xdr:rowOff>17145</xdr:rowOff>
    </xdr:from>
    <xdr:to>
      <xdr:col>14</xdr:col>
      <xdr:colOff>369570</xdr:colOff>
      <xdr:row>66</xdr:row>
      <xdr:rowOff>17145</xdr:rowOff>
    </xdr:to>
    <xdr:graphicFrame macro="">
      <xdr:nvGraphicFramePr>
        <xdr:cNvPr id="1338" name="1 Gráfico">
          <a:extLst>
            <a:ext uri="{FF2B5EF4-FFF2-40B4-BE49-F238E27FC236}">
              <a16:creationId xmlns:a16="http://schemas.microsoft.com/office/drawing/2014/main" id="{00000000-0008-0000-0500-00003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67</xdr:row>
      <xdr:rowOff>53340</xdr:rowOff>
    </xdr:from>
    <xdr:to>
      <xdr:col>14</xdr:col>
      <xdr:colOff>367665</xdr:colOff>
      <xdr:row>83</xdr:row>
      <xdr:rowOff>53340</xdr:rowOff>
    </xdr:to>
    <xdr:graphicFrame macro="">
      <xdr:nvGraphicFramePr>
        <xdr:cNvPr id="1339" name="1 Gráfico">
          <a:extLst>
            <a:ext uri="{FF2B5EF4-FFF2-40B4-BE49-F238E27FC236}">
              <a16:creationId xmlns:a16="http://schemas.microsoft.com/office/drawing/2014/main" id="{00000000-0008-0000-0500-00003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50</xdr:row>
      <xdr:rowOff>3810</xdr:rowOff>
    </xdr:from>
    <xdr:to>
      <xdr:col>14</xdr:col>
      <xdr:colOff>428625</xdr:colOff>
      <xdr:row>67</xdr:row>
      <xdr:rowOff>41910</xdr:rowOff>
    </xdr:to>
    <xdr:graphicFrame macro="">
      <xdr:nvGraphicFramePr>
        <xdr:cNvPr id="11580" name="1 Gráfico">
          <a:extLst>
            <a:ext uri="{FF2B5EF4-FFF2-40B4-BE49-F238E27FC236}">
              <a16:creationId xmlns:a16="http://schemas.microsoft.com/office/drawing/2014/main" id="{00000000-0008-0000-0600-00003C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350520</xdr:colOff>
      <xdr:row>68</xdr:row>
      <xdr:rowOff>15240</xdr:rowOff>
    </xdr:from>
    <xdr:to>
      <xdr:col>14</xdr:col>
      <xdr:colOff>415290</xdr:colOff>
      <xdr:row>85</xdr:row>
      <xdr:rowOff>13335</xdr:rowOff>
    </xdr:to>
    <xdr:graphicFrame macro="">
      <xdr:nvGraphicFramePr>
        <xdr:cNvPr id="11581" name="3 Gráfico">
          <a:extLst>
            <a:ext uri="{FF2B5EF4-FFF2-40B4-BE49-F238E27FC236}">
              <a16:creationId xmlns:a16="http://schemas.microsoft.com/office/drawing/2014/main" id="{00000000-0008-0000-0600-00003D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4:O47" totalsRowShown="0" headerRowDxfId="152" dataDxfId="150" headerRowBorderDxfId="151" tableBorderDxfId="149" totalsRowBorderDxfId="148">
  <sortState xmlns:xlrd2="http://schemas.microsoft.com/office/spreadsheetml/2017/richdata2" ref="A5:O48">
    <sortCondition ref="A5:A48"/>
  </sortState>
  <tableColumns count="15">
    <tableColumn id="15" xr3:uid="{00000000-0010-0000-0000-00000F000000}" name="Núm." dataDxfId="147"/>
    <tableColumn id="1" xr3:uid="{00000000-0010-0000-0000-000001000000}" name="Població" dataDxfId="146"/>
    <tableColumn id="2" xr3:uid="{00000000-0010-0000-0000-000002000000}" name="Gener" dataDxfId="145"/>
    <tableColumn id="3" xr3:uid="{00000000-0010-0000-0000-000003000000}" name="Febrer" dataDxfId="144"/>
    <tableColumn id="4" xr3:uid="{00000000-0010-0000-0000-000004000000}" name="Març" dataDxfId="143"/>
    <tableColumn id="5" xr3:uid="{00000000-0010-0000-0000-000005000000}" name="Abril" dataDxfId="142"/>
    <tableColumn id="6" xr3:uid="{00000000-0010-0000-0000-000006000000}" name="Maig" dataDxfId="141"/>
    <tableColumn id="7" xr3:uid="{00000000-0010-0000-0000-000007000000}" name="Juny" dataDxfId="140"/>
    <tableColumn id="8" xr3:uid="{00000000-0010-0000-0000-000008000000}" name="Juliol" dataDxfId="139"/>
    <tableColumn id="9" xr3:uid="{00000000-0010-0000-0000-000009000000}" name="Agost" dataDxfId="138"/>
    <tableColumn id="10" xr3:uid="{00000000-0010-0000-0000-00000A000000}" name="Setembre" dataDxfId="137"/>
    <tableColumn id="11" xr3:uid="{00000000-0010-0000-0000-00000B000000}" name="Octubre" dataDxfId="136"/>
    <tableColumn id="12" xr3:uid="{00000000-0010-0000-0000-00000C000000}" name="Novembre" dataDxfId="135"/>
    <tableColumn id="13" xr3:uid="{00000000-0010-0000-0000-00000D000000}" name="Desembre" dataDxfId="134"/>
    <tableColumn id="14" xr3:uid="{00000000-0010-0000-0000-00000E000000}" name="TOTAL" dataDxfId="13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25" displayName="Tabla25" ref="A4:O47" totalsRowShown="0" headerRowDxfId="132" dataDxfId="130" headerRowBorderDxfId="131" tableBorderDxfId="129" totalsRowBorderDxfId="128">
  <sortState xmlns:xlrd2="http://schemas.microsoft.com/office/spreadsheetml/2017/richdata2" ref="A5:O48">
    <sortCondition ref="A5:A48"/>
  </sortState>
  <tableColumns count="15">
    <tableColumn id="15" xr3:uid="{00000000-0010-0000-0100-00000F000000}" name="Núm." dataDxfId="127"/>
    <tableColumn id="1" xr3:uid="{00000000-0010-0000-0100-000001000000}" name="Població" dataDxfId="126"/>
    <tableColumn id="2" xr3:uid="{00000000-0010-0000-0100-000002000000}" name="Gener" dataDxfId="125"/>
    <tableColumn id="3" xr3:uid="{00000000-0010-0000-0100-000003000000}" name="Febrer" dataDxfId="124"/>
    <tableColumn id="4" xr3:uid="{00000000-0010-0000-0100-000004000000}" name="Març" dataDxfId="123"/>
    <tableColumn id="5" xr3:uid="{00000000-0010-0000-0100-000005000000}" name="Abril" dataDxfId="122"/>
    <tableColumn id="6" xr3:uid="{00000000-0010-0000-0100-000006000000}" name="Maig" dataDxfId="121"/>
    <tableColumn id="7" xr3:uid="{00000000-0010-0000-0100-000007000000}" name="Juny" dataDxfId="120"/>
    <tableColumn id="8" xr3:uid="{00000000-0010-0000-0100-000008000000}" name="Juliol" dataDxfId="119"/>
    <tableColumn id="9" xr3:uid="{00000000-0010-0000-0100-000009000000}" name="Agost" dataDxfId="118"/>
    <tableColumn id="10" xr3:uid="{00000000-0010-0000-0100-00000A000000}" name="Setembre" dataDxfId="117"/>
    <tableColumn id="11" xr3:uid="{00000000-0010-0000-0100-00000B000000}" name="Octubre" dataDxfId="116"/>
    <tableColumn id="12" xr3:uid="{00000000-0010-0000-0100-00000C000000}" name="Novembre" dataDxfId="115"/>
    <tableColumn id="13" xr3:uid="{00000000-0010-0000-0100-00000D000000}" name="Desembre" dataDxfId="114"/>
    <tableColumn id="14" xr3:uid="{00000000-0010-0000-0100-00000E000000}" name="TOTAL" dataDxfId="11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A3:O48" totalsRowShown="0" headerRowDxfId="112" dataDxfId="111" tableBorderDxfId="110">
  <sortState xmlns:xlrd2="http://schemas.microsoft.com/office/spreadsheetml/2017/richdata2" ref="A5:O48">
    <sortCondition ref="A5:A48"/>
  </sortState>
  <tableColumns count="15">
    <tableColumn id="15" xr3:uid="{00000000-0010-0000-0200-00000F000000}" name="Núm. " dataDxfId="109"/>
    <tableColumn id="1" xr3:uid="{00000000-0010-0000-0200-000001000000}" name="Població" dataDxfId="108"/>
    <tableColumn id="2" xr3:uid="{00000000-0010-0000-0200-000002000000}" name="Gener" dataDxfId="107"/>
    <tableColumn id="3" xr3:uid="{00000000-0010-0000-0200-000003000000}" name="Febrer" dataDxfId="106"/>
    <tableColumn id="4" xr3:uid="{00000000-0010-0000-0200-000004000000}" name="Març" dataDxfId="105"/>
    <tableColumn id="5" xr3:uid="{00000000-0010-0000-0200-000005000000}" name="Abril" dataDxfId="104"/>
    <tableColumn id="6" xr3:uid="{00000000-0010-0000-0200-000006000000}" name="Maig" dataDxfId="103"/>
    <tableColumn id="7" xr3:uid="{00000000-0010-0000-0200-000007000000}" name="Juny" dataDxfId="102"/>
    <tableColumn id="8" xr3:uid="{00000000-0010-0000-0200-000008000000}" name="Juliol" dataDxfId="101"/>
    <tableColumn id="9" xr3:uid="{00000000-0010-0000-0200-000009000000}" name="Agost" dataDxfId="100"/>
    <tableColumn id="10" xr3:uid="{00000000-0010-0000-0200-00000A000000}" name="Setembre" dataDxfId="99"/>
    <tableColumn id="11" xr3:uid="{00000000-0010-0000-0200-00000B000000}" name="Octubre" dataDxfId="98"/>
    <tableColumn id="12" xr3:uid="{00000000-0010-0000-0200-00000C000000}" name="Novembre" dataDxfId="97"/>
    <tableColumn id="13" xr3:uid="{00000000-0010-0000-0200-00000D000000}" name="Desembre" dataDxfId="96"/>
    <tableColumn id="14" xr3:uid="{00000000-0010-0000-0200-00000E000000}" name="TOTAL" dataDxfId="9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4:O49" totalsRowShown="0" headerRowDxfId="94" dataDxfId="93" tableBorderDxfId="92">
  <sortState xmlns:xlrd2="http://schemas.microsoft.com/office/spreadsheetml/2017/richdata2" ref="A5:O48">
    <sortCondition ref="A5:A48"/>
  </sortState>
  <tableColumns count="15">
    <tableColumn id="15" xr3:uid="{00000000-0010-0000-0300-00000F000000}" name="Núm." dataDxfId="91"/>
    <tableColumn id="1" xr3:uid="{00000000-0010-0000-0300-000001000000}" name="Població" dataDxfId="90"/>
    <tableColumn id="2" xr3:uid="{00000000-0010-0000-0300-000002000000}" name="Gener" dataDxfId="89"/>
    <tableColumn id="3" xr3:uid="{00000000-0010-0000-0300-000003000000}" name="Febrer" dataDxfId="88"/>
    <tableColumn id="4" xr3:uid="{00000000-0010-0000-0300-000004000000}" name="Març" dataDxfId="87"/>
    <tableColumn id="5" xr3:uid="{00000000-0010-0000-0300-000005000000}" name="Abril" dataDxfId="86"/>
    <tableColumn id="6" xr3:uid="{00000000-0010-0000-0300-000006000000}" name="Maig" dataDxfId="85"/>
    <tableColumn id="7" xr3:uid="{00000000-0010-0000-0300-000007000000}" name="Juny" dataDxfId="84"/>
    <tableColumn id="8" xr3:uid="{00000000-0010-0000-0300-000008000000}" name="Juliol" dataDxfId="83"/>
    <tableColumn id="9" xr3:uid="{00000000-0010-0000-0300-000009000000}" name="Agost" dataDxfId="82"/>
    <tableColumn id="10" xr3:uid="{00000000-0010-0000-0300-00000A000000}" name="Setembre" dataDxfId="81"/>
    <tableColumn id="11" xr3:uid="{00000000-0010-0000-0300-00000B000000}" name="Octubre" dataDxfId="80"/>
    <tableColumn id="12" xr3:uid="{00000000-0010-0000-0300-00000C000000}" name="Novembre" dataDxfId="79"/>
    <tableColumn id="13" xr3:uid="{00000000-0010-0000-0300-00000D000000}" name="Desembre" dataDxfId="78"/>
    <tableColumn id="14" xr3:uid="{00000000-0010-0000-0300-00000E000000}" name="TOTAL" dataDxfId="77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A3:O43" totalsRowShown="0" headerRowDxfId="76" dataDxfId="74" headerRowBorderDxfId="75" tableBorderDxfId="73" totalsRowBorderDxfId="72">
  <sortState xmlns:xlrd2="http://schemas.microsoft.com/office/spreadsheetml/2017/richdata2" ref="A4:O44">
    <sortCondition ref="A4:A44"/>
  </sortState>
  <tableColumns count="15">
    <tableColumn id="15" xr3:uid="{00000000-0010-0000-0400-00000F000000}" name="Núm." dataDxfId="71"/>
    <tableColumn id="1" xr3:uid="{00000000-0010-0000-0400-000001000000}" name="Població" dataDxfId="70"/>
    <tableColumn id="2" xr3:uid="{00000000-0010-0000-0400-000002000000}" name="Gener" dataDxfId="69"/>
    <tableColumn id="3" xr3:uid="{00000000-0010-0000-0400-000003000000}" name="Febrer" dataDxfId="68"/>
    <tableColumn id="4" xr3:uid="{00000000-0010-0000-0400-000004000000}" name="Març" dataDxfId="67"/>
    <tableColumn id="5" xr3:uid="{00000000-0010-0000-0400-000005000000}" name="Abril" dataDxfId="66"/>
    <tableColumn id="6" xr3:uid="{00000000-0010-0000-0400-000006000000}" name="Maig" dataDxfId="65"/>
    <tableColumn id="7" xr3:uid="{00000000-0010-0000-0400-000007000000}" name="Juny" dataDxfId="64"/>
    <tableColumn id="8" xr3:uid="{00000000-0010-0000-0400-000008000000}" name="Juliol" dataDxfId="63"/>
    <tableColumn id="9" xr3:uid="{00000000-0010-0000-0400-000009000000}" name="Agost" dataDxfId="62"/>
    <tableColumn id="10" xr3:uid="{00000000-0010-0000-0400-00000A000000}" name="Setembre" dataDxfId="61"/>
    <tableColumn id="11" xr3:uid="{00000000-0010-0000-0400-00000B000000}" name="Octubre" dataDxfId="60"/>
    <tableColumn id="12" xr3:uid="{00000000-0010-0000-0400-00000C000000}" name="Novembre" dataDxfId="59"/>
    <tableColumn id="13" xr3:uid="{00000000-0010-0000-0400-00000D000000}" name="Desembre" dataDxfId="58"/>
    <tableColumn id="14" xr3:uid="{00000000-0010-0000-0400-00000E000000}" name="TOTAL" dataDxfId="57"/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a8" displayName="Tabla8" ref="A3:O46" totalsRowShown="0" headerRowDxfId="56" dataDxfId="55" tableBorderDxfId="54">
  <sortState xmlns:xlrd2="http://schemas.microsoft.com/office/spreadsheetml/2017/richdata2" ref="A4:O47">
    <sortCondition ref="A4:A47"/>
  </sortState>
  <tableColumns count="15">
    <tableColumn id="15" xr3:uid="{00000000-0010-0000-0500-00000F000000}" name="Núm." dataDxfId="53"/>
    <tableColumn id="1" xr3:uid="{00000000-0010-0000-0500-000001000000}" name="Població" dataDxfId="52"/>
    <tableColumn id="2" xr3:uid="{00000000-0010-0000-0500-000002000000}" name="Gener" dataDxfId="51"/>
    <tableColumn id="3" xr3:uid="{00000000-0010-0000-0500-000003000000}" name="Febrer" dataDxfId="50"/>
    <tableColumn id="4" xr3:uid="{00000000-0010-0000-0500-000004000000}" name="Març" dataDxfId="49"/>
    <tableColumn id="5" xr3:uid="{00000000-0010-0000-0500-000005000000}" name="Abril" dataDxfId="48"/>
    <tableColumn id="6" xr3:uid="{00000000-0010-0000-0500-000006000000}" name="Maig" dataDxfId="47"/>
    <tableColumn id="7" xr3:uid="{00000000-0010-0000-0500-000007000000}" name="Juny" dataDxfId="46"/>
    <tableColumn id="8" xr3:uid="{00000000-0010-0000-0500-000008000000}" name="Juliol" dataDxfId="45"/>
    <tableColumn id="9" xr3:uid="{00000000-0010-0000-0500-000009000000}" name="Agost" dataDxfId="44"/>
    <tableColumn id="10" xr3:uid="{00000000-0010-0000-0500-00000A000000}" name="Setembre" dataDxfId="43"/>
    <tableColumn id="11" xr3:uid="{00000000-0010-0000-0500-00000B000000}" name="Octubre" dataDxfId="42"/>
    <tableColumn id="12" xr3:uid="{00000000-0010-0000-0500-00000C000000}" name="Novembre" dataDxfId="41"/>
    <tableColumn id="13" xr3:uid="{00000000-0010-0000-0500-00000D000000}" name="Desembre" dataDxfId="40"/>
    <tableColumn id="14" xr3:uid="{00000000-0010-0000-0500-00000E000000}" name="TOTAL" dataDxfId="39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la911" displayName="Tabla911" ref="A3:O46" totalsRowShown="0" headerRowDxfId="38" dataDxfId="37" tableBorderDxfId="36">
  <sortState xmlns:xlrd2="http://schemas.microsoft.com/office/spreadsheetml/2017/richdata2" ref="A4:O45">
    <sortCondition ref="A4:A45"/>
  </sortState>
  <tableColumns count="15">
    <tableColumn id="15" xr3:uid="{00000000-0010-0000-0600-00000F000000}" name="Núm." dataDxfId="35"/>
    <tableColumn id="1" xr3:uid="{00000000-0010-0000-0600-000001000000}" name="Població" dataDxfId="34"/>
    <tableColumn id="2" xr3:uid="{00000000-0010-0000-0600-000002000000}" name="Gener" dataDxfId="33"/>
    <tableColumn id="3" xr3:uid="{00000000-0010-0000-0600-000003000000}" name="Febrer" dataDxfId="32"/>
    <tableColumn id="4" xr3:uid="{00000000-0010-0000-0600-000004000000}" name="Març" dataDxfId="31"/>
    <tableColumn id="5" xr3:uid="{00000000-0010-0000-0600-000005000000}" name="Abril" dataDxfId="30"/>
    <tableColumn id="6" xr3:uid="{00000000-0010-0000-0600-000006000000}" name="Maig" dataDxfId="29"/>
    <tableColumn id="7" xr3:uid="{00000000-0010-0000-0600-000007000000}" name="Juny" dataDxfId="28"/>
    <tableColumn id="8" xr3:uid="{00000000-0010-0000-0600-000008000000}" name="Juliol" dataDxfId="27"/>
    <tableColumn id="9" xr3:uid="{00000000-0010-0000-0600-000009000000}" name="Agost" dataDxfId="26"/>
    <tableColumn id="10" xr3:uid="{00000000-0010-0000-0600-00000A000000}" name="Setembre" dataDxfId="25"/>
    <tableColumn id="11" xr3:uid="{00000000-0010-0000-0600-00000B000000}" name="Octubre" dataDxfId="24"/>
    <tableColumn id="12" xr3:uid="{00000000-0010-0000-0600-00000C000000}" name="Novembre" dataDxfId="23"/>
    <tableColumn id="13" xr3:uid="{00000000-0010-0000-0600-00000D000000}" name="Desembre" dataDxfId="22"/>
    <tableColumn id="14" xr3:uid="{00000000-0010-0000-0600-00000E000000}" name="TOTAL" dataDxfId="21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a91112" displayName="Tabla91112" ref="A3:O46" totalsRowShown="0" headerRowDxfId="20" dataDxfId="19" tableBorderDxfId="18">
  <sortState xmlns:xlrd2="http://schemas.microsoft.com/office/spreadsheetml/2017/richdata2" ref="A4:O45">
    <sortCondition ref="A4:A45"/>
  </sortState>
  <tableColumns count="15">
    <tableColumn id="15" xr3:uid="{00000000-0010-0000-0700-00000F000000}" name="Núm." dataDxfId="17"/>
    <tableColumn id="1" xr3:uid="{00000000-0010-0000-0700-000001000000}" name="Població" dataDxfId="16"/>
    <tableColumn id="2" xr3:uid="{00000000-0010-0000-0700-000002000000}" name="Gener" dataDxfId="15"/>
    <tableColumn id="3" xr3:uid="{00000000-0010-0000-0700-000003000000}" name="Febrer" dataDxfId="14"/>
    <tableColumn id="4" xr3:uid="{00000000-0010-0000-0700-000004000000}" name="Març" dataDxfId="13"/>
    <tableColumn id="5" xr3:uid="{00000000-0010-0000-0700-000005000000}" name="Abril" dataDxfId="12"/>
    <tableColumn id="6" xr3:uid="{00000000-0010-0000-0700-000006000000}" name="Maig" dataDxfId="11"/>
    <tableColumn id="7" xr3:uid="{00000000-0010-0000-0700-000007000000}" name="Juny" dataDxfId="10"/>
    <tableColumn id="8" xr3:uid="{00000000-0010-0000-0700-000008000000}" name="Juliol" dataDxfId="9"/>
    <tableColumn id="9" xr3:uid="{00000000-0010-0000-0700-000009000000}" name="Agost" dataDxfId="8"/>
    <tableColumn id="10" xr3:uid="{00000000-0010-0000-0700-00000A000000}" name="Setembre" dataDxfId="7"/>
    <tableColumn id="11" xr3:uid="{00000000-0010-0000-0700-00000B000000}" name="Octubre" dataDxfId="6"/>
    <tableColumn id="12" xr3:uid="{00000000-0010-0000-0700-00000C000000}" name="Novembre" dataDxfId="5"/>
    <tableColumn id="13" xr3:uid="{00000000-0010-0000-0700-00000D000000}" name="Desembre" dataDxfId="4"/>
    <tableColumn id="14" xr3:uid="{00000000-0010-0000-0700-00000E000000}" name="TOTAL" dataDxfId="3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selection activeCell="P11" sqref="P11"/>
    </sheetView>
  </sheetViews>
  <sheetFormatPr baseColWidth="10" defaultRowHeight="15" x14ac:dyDescent="0.25"/>
  <cols>
    <col min="14" max="14" width="11.5703125" style="238"/>
  </cols>
  <sheetData>
    <row r="1" spans="1:17" ht="15.75" thickBot="1" x14ac:dyDescent="0.3"/>
    <row r="2" spans="1:17" ht="15.75" thickBot="1" x14ac:dyDescent="0.3">
      <c r="B2" s="208" t="s">
        <v>26</v>
      </c>
      <c r="C2" s="209" t="s">
        <v>27</v>
      </c>
      <c r="D2" s="209" t="s">
        <v>28</v>
      </c>
      <c r="E2" s="209" t="s">
        <v>29</v>
      </c>
      <c r="F2" s="209" t="s">
        <v>30</v>
      </c>
      <c r="G2" s="209" t="s">
        <v>31</v>
      </c>
      <c r="H2" s="209" t="s">
        <v>32</v>
      </c>
      <c r="I2" s="209" t="s">
        <v>33</v>
      </c>
      <c r="J2" s="219" t="s">
        <v>34</v>
      </c>
      <c r="K2" s="223" t="s">
        <v>35</v>
      </c>
      <c r="L2" s="223" t="s">
        <v>36</v>
      </c>
      <c r="M2" s="223" t="s">
        <v>37</v>
      </c>
    </row>
    <row r="3" spans="1:17" x14ac:dyDescent="0.25">
      <c r="A3" s="205" t="s">
        <v>61</v>
      </c>
    </row>
    <row r="4" spans="1:17" x14ac:dyDescent="0.25">
      <c r="A4" s="205">
        <v>2017</v>
      </c>
      <c r="B4" s="206">
        <v>412581.0400000001</v>
      </c>
      <c r="C4" s="207">
        <v>352130.02</v>
      </c>
      <c r="D4" s="207">
        <v>405029.97000000009</v>
      </c>
      <c r="E4" s="207">
        <v>366729.58000000007</v>
      </c>
      <c r="F4" s="207">
        <v>419681.99999999988</v>
      </c>
      <c r="G4" s="207">
        <v>448799.34</v>
      </c>
      <c r="H4" s="207">
        <v>440767.29000000004</v>
      </c>
      <c r="I4" s="207">
        <v>413206.86</v>
      </c>
      <c r="J4" s="207">
        <v>438036.02</v>
      </c>
      <c r="K4" s="207">
        <v>419070.96999999991</v>
      </c>
      <c r="L4" s="207">
        <v>385953.98999999987</v>
      </c>
      <c r="M4" s="207">
        <v>440054</v>
      </c>
      <c r="N4" s="239">
        <f>SUM(B4:M4)</f>
        <v>4942041.08</v>
      </c>
      <c r="P4" s="220"/>
      <c r="Q4" s="220"/>
    </row>
    <row r="5" spans="1:17" x14ac:dyDescent="0.25">
      <c r="A5" s="205">
        <v>2018</v>
      </c>
      <c r="B5" s="233">
        <v>500800.28999999992</v>
      </c>
      <c r="C5" s="234">
        <v>375879.99999999994</v>
      </c>
      <c r="D5" s="234">
        <v>468932.01999999996</v>
      </c>
      <c r="E5" s="234">
        <v>450069.97999999986</v>
      </c>
      <c r="F5" s="234">
        <v>496034.99</v>
      </c>
      <c r="G5" s="234">
        <v>504269.98999999993</v>
      </c>
      <c r="H5" s="234">
        <v>547712.77999999991</v>
      </c>
      <c r="I5" s="234">
        <v>487850.99000000005</v>
      </c>
      <c r="J5" s="234">
        <v>514509.97000000003</v>
      </c>
      <c r="K5" s="234">
        <v>559220</v>
      </c>
      <c r="L5" s="234">
        <v>536139.99</v>
      </c>
      <c r="M5" s="234">
        <v>572150</v>
      </c>
      <c r="N5" s="240">
        <f>SUM(B5:M5)</f>
        <v>6013570.9999999991</v>
      </c>
      <c r="P5" s="2"/>
    </row>
    <row r="6" spans="1:17" x14ac:dyDescent="0.25">
      <c r="A6" s="205">
        <v>2019</v>
      </c>
      <c r="B6" s="233">
        <v>566700.01</v>
      </c>
      <c r="C6" s="234">
        <v>459989.99999999994</v>
      </c>
      <c r="D6" s="234">
        <v>514580</v>
      </c>
      <c r="E6" s="234">
        <v>552220</v>
      </c>
      <c r="F6" s="234">
        <v>611979.99000000022</v>
      </c>
      <c r="G6" s="234">
        <v>580150.01</v>
      </c>
      <c r="H6" s="234">
        <v>684485.96</v>
      </c>
      <c r="I6" s="234">
        <v>573520.01</v>
      </c>
      <c r="J6" s="234">
        <v>641150</v>
      </c>
      <c r="K6" s="234">
        <v>678140.00999999978</v>
      </c>
      <c r="L6" s="234">
        <v>630520.00999999978</v>
      </c>
      <c r="M6" s="234">
        <v>757479.56999999983</v>
      </c>
      <c r="N6" s="240">
        <f>SUM(B6:M6)</f>
        <v>7250915.5699999984</v>
      </c>
      <c r="P6" s="2"/>
    </row>
    <row r="7" spans="1:17" x14ac:dyDescent="0.25">
      <c r="A7" s="205">
        <v>2020</v>
      </c>
      <c r="B7" s="233">
        <v>773935.99999999977</v>
      </c>
      <c r="C7" s="233">
        <v>638270.26</v>
      </c>
      <c r="D7" s="233">
        <v>653740.02000000014</v>
      </c>
      <c r="E7" s="233">
        <v>654640</v>
      </c>
      <c r="F7" s="233">
        <v>649250.00999999989</v>
      </c>
      <c r="G7" s="233">
        <v>740840</v>
      </c>
      <c r="H7" s="233">
        <v>744250.05</v>
      </c>
      <c r="I7" s="233">
        <v>601062.01</v>
      </c>
      <c r="J7" s="233">
        <v>720299.9600000002</v>
      </c>
      <c r="K7" s="233">
        <v>699000.01999999979</v>
      </c>
      <c r="L7" s="233">
        <v>671759.98999999976</v>
      </c>
      <c r="M7" s="233">
        <v>825045.96999999986</v>
      </c>
      <c r="N7" s="240">
        <f>SUM(B7:M7)</f>
        <v>8372094.2899999982</v>
      </c>
      <c r="P7" s="2"/>
    </row>
    <row r="8" spans="1:17" ht="15.75" thickBot="1" x14ac:dyDescent="0.3">
      <c r="A8" s="205">
        <v>2021</v>
      </c>
      <c r="B8" s="283">
        <f>'PAPER I CARTRÓ'!C45+'PAPER I CARTRÓ PORTA A PORTA'!C45</f>
        <v>703699.99999999988</v>
      </c>
      <c r="C8" s="283">
        <f>'PAPER I CARTRÓ'!D45+'PAPER I CARTRÓ PORTA A PORTA'!D45</f>
        <v>640039.99</v>
      </c>
      <c r="D8" s="283">
        <f>'PAPER I CARTRÓ'!E45+'PAPER I CARTRÓ PORTA A PORTA'!E45</f>
        <v>685150.00000000012</v>
      </c>
      <c r="E8" s="283">
        <f>'PAPER I CARTRÓ'!F45+'PAPER I CARTRÓ PORTA A PORTA'!F45</f>
        <v>642322</v>
      </c>
      <c r="F8" s="283">
        <f>'PAPER I CARTRÓ'!G45+'PAPER I CARTRÓ PORTA A PORTA'!G45</f>
        <v>651640.98</v>
      </c>
      <c r="G8" s="283">
        <f>'PAPER I CARTRÓ'!H45+'PAPER I CARTRÓ PORTA A PORTA'!H45</f>
        <v>704409.97000000009</v>
      </c>
      <c r="H8" s="283">
        <f>'PAPER I CARTRÓ'!I45+'PAPER I CARTRÓ PORTA A PORTA'!I45</f>
        <v>707238.97999999986</v>
      </c>
      <c r="I8" s="283">
        <f>'PAPER I CARTRÓ'!J45+'PAPER I CARTRÓ PORTA A PORTA'!J45</f>
        <v>605390.02</v>
      </c>
      <c r="J8" s="283">
        <f>'PAPER I CARTRÓ'!K45+'PAPER I CARTRÓ PORTA A PORTA'!K45</f>
        <v>677644.00999999989</v>
      </c>
      <c r="K8" s="283">
        <f>'PAPER I CARTRÓ'!L45+'PAPER I CARTRÓ PORTA A PORTA'!L45</f>
        <v>661403.98999999987</v>
      </c>
      <c r="L8" s="283">
        <f>'PAPER I CARTRÓ'!M45+'PAPER I CARTRÓ PORTA A PORTA'!M45</f>
        <v>661299.51000000013</v>
      </c>
      <c r="M8" s="283">
        <f>'PAPER I CARTRÓ'!N45+'PAPER I CARTRÓ PORTA A PORTA'!N45</f>
        <v>750063</v>
      </c>
      <c r="N8" s="284">
        <f>SUM(B8:M8)</f>
        <v>8090302.4499999993</v>
      </c>
      <c r="P8" s="2"/>
    </row>
    <row r="9" spans="1:17" x14ac:dyDescent="0.25">
      <c r="A9" s="243" t="s">
        <v>70</v>
      </c>
      <c r="B9" s="237">
        <f>(B8/B7)-1</f>
        <v>-9.0751690062227275E-2</v>
      </c>
      <c r="C9" s="237">
        <f t="shared" ref="C9:N9" si="0">(C8/C7)-1</f>
        <v>2.7726969450212469E-3</v>
      </c>
      <c r="D9" s="237">
        <f t="shared" si="0"/>
        <v>4.8046591977036979E-2</v>
      </c>
      <c r="E9" s="237">
        <f t="shared" si="0"/>
        <v>-1.8816448735182734E-2</v>
      </c>
      <c r="F9" s="237">
        <f t="shared" si="0"/>
        <v>3.6826645562932914E-3</v>
      </c>
      <c r="G9" s="237">
        <f t="shared" si="0"/>
        <v>-4.9173951190540355E-2</v>
      </c>
      <c r="H9" s="237">
        <f t="shared" si="0"/>
        <v>-4.9729348355435299E-2</v>
      </c>
      <c r="I9" s="237">
        <f t="shared" si="0"/>
        <v>7.2006048094772623E-3</v>
      </c>
      <c r="J9" s="237">
        <f t="shared" si="0"/>
        <v>-5.9219703413561642E-2</v>
      </c>
      <c r="K9" s="237">
        <f t="shared" si="0"/>
        <v>-5.3785449104851168E-2</v>
      </c>
      <c r="L9" s="237">
        <f t="shared" si="0"/>
        <v>-1.5571752047929599E-2</v>
      </c>
      <c r="M9" s="237">
        <f t="shared" si="0"/>
        <v>-9.0883384352510532E-2</v>
      </c>
      <c r="N9" s="237">
        <f t="shared" si="0"/>
        <v>-3.3658464685064948E-2</v>
      </c>
    </row>
    <row r="10" spans="1:17" x14ac:dyDescent="0.25">
      <c r="A10" s="205" t="s">
        <v>62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7" x14ac:dyDescent="0.25">
      <c r="A11" s="205">
        <v>2017</v>
      </c>
      <c r="B11" s="221">
        <v>444980.00999999989</v>
      </c>
      <c r="C11" s="222">
        <v>411340.00000000006</v>
      </c>
      <c r="D11" s="222">
        <v>475679.99000000017</v>
      </c>
      <c r="E11" s="222">
        <v>428580.00000000006</v>
      </c>
      <c r="F11" s="222">
        <v>487100</v>
      </c>
      <c r="G11" s="222">
        <v>498879.93999999989</v>
      </c>
      <c r="H11" s="222">
        <v>488108.25999999995</v>
      </c>
      <c r="I11" s="222">
        <v>462720.13000000006</v>
      </c>
      <c r="J11" s="222">
        <v>468340.01000000018</v>
      </c>
      <c r="K11" s="222">
        <v>480899.37999999995</v>
      </c>
      <c r="L11" s="222">
        <v>455520.01000000007</v>
      </c>
      <c r="M11" s="222">
        <v>472960</v>
      </c>
      <c r="N11" s="241">
        <f>SUM(B11:M11)</f>
        <v>5575107.7299999995</v>
      </c>
    </row>
    <row r="12" spans="1:17" x14ac:dyDescent="0.25">
      <c r="A12" s="205">
        <v>2018</v>
      </c>
      <c r="B12" s="221">
        <v>492829.60000000009</v>
      </c>
      <c r="C12" s="222">
        <v>421959.93</v>
      </c>
      <c r="D12" s="222">
        <v>494580.00999999995</v>
      </c>
      <c r="E12" s="222">
        <v>478619.99000000005</v>
      </c>
      <c r="F12" s="222">
        <v>506699.99999999994</v>
      </c>
      <c r="G12" s="222">
        <v>492539.98999999993</v>
      </c>
      <c r="H12" s="222">
        <v>520740.02999999985</v>
      </c>
      <c r="I12" s="222">
        <v>494920</v>
      </c>
      <c r="J12" s="222">
        <v>473600.31000000017</v>
      </c>
      <c r="K12" s="222">
        <v>531240.03000000014</v>
      </c>
      <c r="L12" s="222">
        <v>517179.98776397511</v>
      </c>
      <c r="M12" s="222">
        <v>503200</v>
      </c>
      <c r="N12" s="241">
        <f>SUM(B12:M12)</f>
        <v>5928109.8777639745</v>
      </c>
    </row>
    <row r="13" spans="1:17" x14ac:dyDescent="0.25">
      <c r="A13" s="205">
        <v>2019</v>
      </c>
      <c r="B13" s="233">
        <v>503900</v>
      </c>
      <c r="C13" s="234">
        <v>455080</v>
      </c>
      <c r="D13" s="234">
        <v>507040</v>
      </c>
      <c r="E13" s="234">
        <v>520320</v>
      </c>
      <c r="F13" s="234">
        <v>549739.98</v>
      </c>
      <c r="G13" s="234">
        <v>521619.62999999995</v>
      </c>
      <c r="H13" s="234">
        <v>598525.08000000007</v>
      </c>
      <c r="I13" s="234">
        <v>530639.98999999987</v>
      </c>
      <c r="J13" s="234">
        <v>557359.98999999976</v>
      </c>
      <c r="K13" s="234">
        <v>561707.25999999989</v>
      </c>
      <c r="L13" s="234">
        <v>536439.85800000001</v>
      </c>
      <c r="M13" s="234">
        <v>587260.01</v>
      </c>
      <c r="N13" s="240">
        <f>SUM(B13:M13)</f>
        <v>6429631.7979999995</v>
      </c>
    </row>
    <row r="14" spans="1:17" x14ac:dyDescent="0.25">
      <c r="A14" s="205">
        <v>2020</v>
      </c>
      <c r="B14" s="233">
        <v>599779.97999999986</v>
      </c>
      <c r="C14" s="233">
        <v>528459.96999999986</v>
      </c>
      <c r="D14" s="233">
        <v>601019.99999999988</v>
      </c>
      <c r="E14" s="233">
        <v>634699.9800000001</v>
      </c>
      <c r="F14" s="233">
        <v>634400.0199999999</v>
      </c>
      <c r="G14" s="233">
        <v>670300.01999999979</v>
      </c>
      <c r="H14" s="233">
        <v>649720.17000000004</v>
      </c>
      <c r="I14" s="233">
        <v>585680.02</v>
      </c>
      <c r="J14" s="233">
        <v>610300.00999999989</v>
      </c>
      <c r="K14" s="233">
        <v>632939.98999999987</v>
      </c>
      <c r="L14" s="233">
        <v>622380.02000000014</v>
      </c>
      <c r="M14" s="233">
        <v>661420.01</v>
      </c>
      <c r="N14" s="240">
        <f>SUM(B14:M14)</f>
        <v>7431100.1900000004</v>
      </c>
    </row>
    <row r="15" spans="1:17" ht="15.75" thickBot="1" x14ac:dyDescent="0.3">
      <c r="A15" s="205">
        <v>2021</v>
      </c>
      <c r="B15" s="283">
        <f>ENVASOS!C46</f>
        <v>611420.00000000012</v>
      </c>
      <c r="C15" s="283">
        <f>ENVASOS!D46</f>
        <v>573540</v>
      </c>
      <c r="D15" s="283">
        <f>ENVASOS!E46</f>
        <v>653820.03</v>
      </c>
      <c r="E15" s="283">
        <f>ENVASOS!F46</f>
        <v>637280.00999999989</v>
      </c>
      <c r="F15" s="283">
        <f>ENVASOS!G46</f>
        <v>644292.0199999999</v>
      </c>
      <c r="G15" s="283">
        <f>ENVASOS!H46</f>
        <v>653300</v>
      </c>
      <c r="H15" s="283">
        <f>ENVASOS!I46</f>
        <v>661860</v>
      </c>
      <c r="I15" s="283">
        <f>ENVASOS!J46</f>
        <v>608320.0199999999</v>
      </c>
      <c r="J15" s="283">
        <f>ENVASOS!K46</f>
        <v>637879.98999999976</v>
      </c>
      <c r="K15" s="283">
        <f>ENVASOS!L46</f>
        <v>626370</v>
      </c>
      <c r="L15" s="283">
        <f>ENVASOS!M46</f>
        <v>647540.02</v>
      </c>
      <c r="M15" s="283">
        <f>ENVASOS!N46</f>
        <v>635061</v>
      </c>
      <c r="N15" s="284">
        <f>SUM(B15:M15)</f>
        <v>7590683.0899999999</v>
      </c>
    </row>
    <row r="16" spans="1:17" x14ac:dyDescent="0.25">
      <c r="A16" s="243" t="s">
        <v>70</v>
      </c>
      <c r="B16" s="237">
        <f>(B15/B14)-1</f>
        <v>1.9407149935215084E-2</v>
      </c>
      <c r="C16" s="237">
        <f t="shared" ref="C16" si="1">(C15/C14)-1</f>
        <v>8.5304531202240685E-2</v>
      </c>
      <c r="D16" s="237">
        <f t="shared" ref="D16" si="2">(D15/D14)-1</f>
        <v>8.7850703803534325E-2</v>
      </c>
      <c r="E16" s="237">
        <f t="shared" ref="E16" si="3">(E15/E14)-1</f>
        <v>4.0649599516291435E-3</v>
      </c>
      <c r="F16" s="237">
        <f t="shared" ref="F16" si="4">(F15/F14)-1</f>
        <v>1.5592685510949389E-2</v>
      </c>
      <c r="G16" s="237">
        <f t="shared" ref="G16" si="5">(G15/G14)-1</f>
        <v>-2.5361807388876056E-2</v>
      </c>
      <c r="H16" s="237">
        <f t="shared" ref="H16" si="6">(H15/H14)-1</f>
        <v>1.8684705447885364E-2</v>
      </c>
      <c r="I16" s="237">
        <f t="shared" ref="I16" si="7">(I15/I14)-1</f>
        <v>3.8655920002188093E-2</v>
      </c>
      <c r="J16" s="237">
        <f t="shared" ref="J16" si="8">(J15/J14)-1</f>
        <v>4.5190856215125752E-2</v>
      </c>
      <c r="K16" s="237">
        <f t="shared" ref="K16" si="9">(K15/K14)-1</f>
        <v>-1.0380115182799354E-2</v>
      </c>
      <c r="L16" s="237">
        <f t="shared" ref="L16" si="10">(L15/L14)-1</f>
        <v>4.0425462244112254E-2</v>
      </c>
      <c r="M16" s="237">
        <f t="shared" ref="M16" si="11">(M15/M14)-1</f>
        <v>-3.9852150829243871E-2</v>
      </c>
      <c r="N16" s="237">
        <f>(N15/N14)-1</f>
        <v>2.1475003151585792E-2</v>
      </c>
    </row>
    <row r="17" spans="1:14" x14ac:dyDescent="0.25">
      <c r="A17" s="205" t="s">
        <v>63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4" x14ac:dyDescent="0.25">
      <c r="A18" s="205">
        <v>2017</v>
      </c>
      <c r="B18" s="221">
        <v>565059.97000000009</v>
      </c>
      <c r="C18" s="222">
        <v>455340.12999999995</v>
      </c>
      <c r="D18" s="222">
        <v>417819.99999999994</v>
      </c>
      <c r="E18" s="222">
        <v>393319.99999999988</v>
      </c>
      <c r="F18" s="222">
        <v>510600.33</v>
      </c>
      <c r="G18" s="222">
        <v>475780.1100000001</v>
      </c>
      <c r="H18" s="222">
        <v>439540.02999999985</v>
      </c>
      <c r="I18" s="222">
        <v>459579.98999999993</v>
      </c>
      <c r="J18" s="222">
        <v>511720.00999999995</v>
      </c>
      <c r="K18" s="222">
        <v>476500.01</v>
      </c>
      <c r="L18" s="222">
        <v>442320.01999999996</v>
      </c>
      <c r="M18" s="222">
        <v>394320.00000000006</v>
      </c>
      <c r="N18" s="241">
        <f>SUM(B18:M18)</f>
        <v>5541900.5999999987</v>
      </c>
    </row>
    <row r="19" spans="1:14" x14ac:dyDescent="0.25">
      <c r="A19" s="205">
        <v>2018</v>
      </c>
      <c r="B19" s="221">
        <v>665919.99</v>
      </c>
      <c r="C19" s="222">
        <v>362839.65</v>
      </c>
      <c r="D19" s="222">
        <v>451140.36999999994</v>
      </c>
      <c r="E19" s="222">
        <v>461399.97999999986</v>
      </c>
      <c r="F19" s="222">
        <v>441439.95</v>
      </c>
      <c r="G19" s="222">
        <v>445120.02999999985</v>
      </c>
      <c r="H19" s="222">
        <v>494700</v>
      </c>
      <c r="I19" s="222">
        <v>532180.97</v>
      </c>
      <c r="J19" s="222">
        <v>428980</v>
      </c>
      <c r="K19" s="222">
        <v>455039.99000000011</v>
      </c>
      <c r="L19" s="222">
        <v>426259.8000000001</v>
      </c>
      <c r="M19" s="222">
        <v>493020.04000000004</v>
      </c>
      <c r="N19" s="241">
        <f>SUM(B19:M19)</f>
        <v>5658040.7699999996</v>
      </c>
    </row>
    <row r="20" spans="1:14" x14ac:dyDescent="0.25">
      <c r="A20" s="205">
        <v>2019</v>
      </c>
      <c r="B20" s="221">
        <v>613340</v>
      </c>
      <c r="C20" s="222">
        <v>429160</v>
      </c>
      <c r="D20" s="222">
        <v>422100</v>
      </c>
      <c r="E20" s="222">
        <v>464379.98999999993</v>
      </c>
      <c r="F20" s="222">
        <v>473939.96</v>
      </c>
      <c r="G20" s="222">
        <v>412300.00000000006</v>
      </c>
      <c r="H20" s="222">
        <v>549179.96999999974</v>
      </c>
      <c r="I20" s="222">
        <v>459940.02</v>
      </c>
      <c r="J20" s="222">
        <v>546939.98999999987</v>
      </c>
      <c r="K20" s="222">
        <v>542460.10000000009</v>
      </c>
      <c r="L20" s="222">
        <v>420879.99999999994</v>
      </c>
      <c r="M20" s="222">
        <v>530479.97</v>
      </c>
      <c r="N20" s="241">
        <f>SUM(B20:M20)</f>
        <v>5865099.9999999991</v>
      </c>
    </row>
    <row r="21" spans="1:14" x14ac:dyDescent="0.25">
      <c r="A21" s="205">
        <v>2020</v>
      </c>
      <c r="B21" s="233">
        <v>726420.00000000012</v>
      </c>
      <c r="C21" s="233">
        <v>449399.99000000011</v>
      </c>
      <c r="D21" s="233">
        <v>555159.99999999977</v>
      </c>
      <c r="E21" s="233">
        <v>510319.98999999993</v>
      </c>
      <c r="F21" s="233">
        <v>465120.02</v>
      </c>
      <c r="G21" s="233">
        <v>611160.01000000013</v>
      </c>
      <c r="H21" s="233">
        <v>671139.98</v>
      </c>
      <c r="I21" s="233">
        <v>550080.00000000023</v>
      </c>
      <c r="J21" s="233">
        <v>554559.98999999987</v>
      </c>
      <c r="K21" s="233">
        <v>484320.0199999999</v>
      </c>
      <c r="L21" s="233">
        <v>515559.98999999993</v>
      </c>
      <c r="M21" s="233">
        <v>617980.03000000026</v>
      </c>
      <c r="N21" s="240">
        <f>SUM(B21:M21)</f>
        <v>6711220.0200000005</v>
      </c>
    </row>
    <row r="22" spans="1:14" ht="15.75" thickBot="1" x14ac:dyDescent="0.3">
      <c r="A22" s="205">
        <v>2021</v>
      </c>
      <c r="B22" s="283">
        <f>VIDRE!C47</f>
        <v>627259.98</v>
      </c>
      <c r="C22" s="283">
        <f>VIDRE!D47</f>
        <v>459300</v>
      </c>
      <c r="D22" s="283">
        <f>VIDRE!E47</f>
        <v>548899.9800000001</v>
      </c>
      <c r="E22" s="283">
        <f>VIDRE!F47</f>
        <v>625180.02000000014</v>
      </c>
      <c r="F22" s="283">
        <f>VIDRE!G47</f>
        <v>455239.99000000017</v>
      </c>
      <c r="G22" s="283">
        <f>VIDRE!H47</f>
        <v>541920.00999999989</v>
      </c>
      <c r="H22" s="283">
        <f>VIDRE!I47</f>
        <v>602060.00999999989</v>
      </c>
      <c r="I22" s="283">
        <f>VIDRE!J47</f>
        <v>566870.00999999966</v>
      </c>
      <c r="J22" s="283">
        <f>VIDRE!K47</f>
        <v>591860</v>
      </c>
      <c r="K22" s="283">
        <f>VIDRE!L47</f>
        <v>512980.00000000012</v>
      </c>
      <c r="L22" s="283">
        <f>VIDRE!M47</f>
        <v>554660.13000000012</v>
      </c>
      <c r="M22" s="283">
        <f>VIDRE!N47</f>
        <v>561589</v>
      </c>
      <c r="N22" s="284">
        <f>SUM(B22:M22)</f>
        <v>6647819.129999999</v>
      </c>
    </row>
    <row r="23" spans="1:14" x14ac:dyDescent="0.25">
      <c r="A23" s="243" t="s">
        <v>70</v>
      </c>
      <c r="B23" s="237">
        <f>(B22/B21)-1</f>
        <v>-0.13650507970595538</v>
      </c>
      <c r="C23" s="237">
        <f t="shared" ref="C23" si="12">(C22/C21)-1</f>
        <v>2.2029395238749139E-2</v>
      </c>
      <c r="D23" s="237">
        <f t="shared" ref="D23" si="13">(D22/D21)-1</f>
        <v>-1.1276064557964705E-2</v>
      </c>
      <c r="E23" s="237">
        <f t="shared" ref="E23" si="14">(E22/E21)-1</f>
        <v>0.22507452627909053</v>
      </c>
      <c r="F23" s="237">
        <f t="shared" ref="F23" si="15">(F22/F21)-1</f>
        <v>-2.1241893651449018E-2</v>
      </c>
      <c r="G23" s="237">
        <f t="shared" ref="G23" si="16">(G22/G21)-1</f>
        <v>-0.11329275290770446</v>
      </c>
      <c r="H23" s="237">
        <f t="shared" ref="H23" si="17">(H22/H21)-1</f>
        <v>-0.10292930246831677</v>
      </c>
      <c r="I23" s="237">
        <f t="shared" ref="I23" si="18">(I22/I21)-1</f>
        <v>3.0522851221639336E-2</v>
      </c>
      <c r="J23" s="237">
        <f t="shared" ref="J23" si="19">(J22/J21)-1</f>
        <v>6.7260550116498896E-2</v>
      </c>
      <c r="K23" s="237">
        <f t="shared" ref="K23" si="20">(K22/K21)-1</f>
        <v>5.9175707830537716E-2</v>
      </c>
      <c r="L23" s="237">
        <f t="shared" ref="L23" si="21">(L22/L21)-1</f>
        <v>7.5840136469861097E-2</v>
      </c>
      <c r="M23" s="237">
        <f t="shared" ref="M23" si="22">(M22/M21)-1</f>
        <v>-9.1250570022465394E-2</v>
      </c>
      <c r="N23" s="237">
        <f>(N22/N21)-1</f>
        <v>-9.4469991761648719E-3</v>
      </c>
    </row>
    <row r="24" spans="1:14" x14ac:dyDescent="0.25">
      <c r="A24" s="205" t="s">
        <v>64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4" x14ac:dyDescent="0.25">
      <c r="A25" s="205">
        <v>2017</v>
      </c>
      <c r="B25" s="206">
        <v>1134540</v>
      </c>
      <c r="C25" s="207">
        <v>1119440</v>
      </c>
      <c r="D25" s="207">
        <v>1153520</v>
      </c>
      <c r="E25" s="207">
        <v>1200540</v>
      </c>
      <c r="F25" s="207">
        <v>1276000</v>
      </c>
      <c r="G25" s="207">
        <v>1270280</v>
      </c>
      <c r="H25" s="207">
        <v>1249100</v>
      </c>
      <c r="I25" s="207">
        <v>1274940</v>
      </c>
      <c r="J25" s="207">
        <v>1182980</v>
      </c>
      <c r="K25" s="207">
        <v>1229580</v>
      </c>
      <c r="L25" s="207">
        <v>1123760</v>
      </c>
      <c r="M25" s="207">
        <v>1149580</v>
      </c>
      <c r="N25" s="239">
        <f>SUM(B25:M25)</f>
        <v>14364260</v>
      </c>
    </row>
    <row r="26" spans="1:14" x14ac:dyDescent="0.25">
      <c r="A26" s="205">
        <v>2018</v>
      </c>
      <c r="B26" s="206">
        <v>1340779</v>
      </c>
      <c r="C26" s="207">
        <v>1082860</v>
      </c>
      <c r="D26" s="207">
        <v>1324600</v>
      </c>
      <c r="E26" s="207">
        <v>1294260</v>
      </c>
      <c r="F26" s="207">
        <v>1317200</v>
      </c>
      <c r="G26" s="207">
        <v>1336220</v>
      </c>
      <c r="H26" s="207">
        <v>1378020</v>
      </c>
      <c r="I26" s="207">
        <v>1315139</v>
      </c>
      <c r="J26" s="207">
        <v>1240140</v>
      </c>
      <c r="K26" s="207">
        <v>1321720</v>
      </c>
      <c r="L26" s="207">
        <v>1140760</v>
      </c>
      <c r="M26" s="207">
        <v>1115400</v>
      </c>
      <c r="N26" s="239">
        <f>SUM(B26:M26)</f>
        <v>15207098</v>
      </c>
    </row>
    <row r="27" spans="1:14" x14ac:dyDescent="0.25">
      <c r="A27" s="205">
        <v>2019</v>
      </c>
      <c r="B27" s="221">
        <v>1037280.0100000001</v>
      </c>
      <c r="C27" s="222">
        <v>988299</v>
      </c>
      <c r="D27" s="222">
        <v>1061900</v>
      </c>
      <c r="E27" s="222">
        <v>1040420</v>
      </c>
      <c r="F27" s="222">
        <v>1131120</v>
      </c>
      <c r="G27" s="222">
        <v>1104280</v>
      </c>
      <c r="H27" s="222">
        <v>1196720</v>
      </c>
      <c r="I27" s="222">
        <v>1076958.8199999998</v>
      </c>
      <c r="J27" s="222">
        <v>1075740</v>
      </c>
      <c r="K27" s="222">
        <v>1041840</v>
      </c>
      <c r="L27" s="222">
        <v>1021720</v>
      </c>
      <c r="M27" s="222">
        <v>1090399.99</v>
      </c>
      <c r="N27" s="241">
        <f>SUM(B27:M27)</f>
        <v>12866677.82</v>
      </c>
    </row>
    <row r="28" spans="1:14" x14ac:dyDescent="0.25">
      <c r="A28" s="205">
        <v>2020</v>
      </c>
      <c r="B28" s="233">
        <v>1107820</v>
      </c>
      <c r="C28" s="233">
        <v>987120</v>
      </c>
      <c r="D28" s="233">
        <v>1097660</v>
      </c>
      <c r="E28" s="233">
        <v>1195580</v>
      </c>
      <c r="F28" s="233">
        <v>1236660</v>
      </c>
      <c r="G28" s="233">
        <v>1260060.1000000001</v>
      </c>
      <c r="H28" s="233">
        <v>1224420</v>
      </c>
      <c r="I28" s="233">
        <v>1162340</v>
      </c>
      <c r="J28" s="233">
        <v>1103480</v>
      </c>
      <c r="K28" s="233">
        <v>1114620</v>
      </c>
      <c r="L28" s="233">
        <v>1091280</v>
      </c>
      <c r="M28" s="233">
        <v>1113780</v>
      </c>
      <c r="N28" s="240">
        <f>SUM(B28:M28)</f>
        <v>13694820.1</v>
      </c>
    </row>
    <row r="29" spans="1:14" ht="15.75" thickBot="1" x14ac:dyDescent="0.3">
      <c r="A29" s="205">
        <v>2021</v>
      </c>
      <c r="B29" s="283">
        <f>RMO!C44</f>
        <v>1082420</v>
      </c>
      <c r="C29" s="283">
        <f>RMO!D44</f>
        <v>984360.01</v>
      </c>
      <c r="D29" s="283">
        <f>RMO!E44</f>
        <v>1175640</v>
      </c>
      <c r="E29" s="283">
        <f>RMO!F44</f>
        <v>1120218</v>
      </c>
      <c r="F29" s="283">
        <f>RMO!G44</f>
        <v>1237280</v>
      </c>
      <c r="G29" s="283">
        <f>RMO!H44</f>
        <v>1206140</v>
      </c>
      <c r="H29" s="283">
        <f>RMO!I44</f>
        <v>1204900</v>
      </c>
      <c r="I29" s="283">
        <f>RMO!J44</f>
        <v>1124120</v>
      </c>
      <c r="J29" s="283">
        <f>RMO!K44</f>
        <v>1116260</v>
      </c>
      <c r="K29" s="283">
        <f>RMO!L44</f>
        <v>1399540</v>
      </c>
      <c r="L29" s="283">
        <f>RMO!M44</f>
        <v>1390460</v>
      </c>
      <c r="M29" s="283">
        <f>RMO!N44</f>
        <v>1427900</v>
      </c>
      <c r="N29" s="284">
        <f>SUM(B29:M29)</f>
        <v>14469238.01</v>
      </c>
    </row>
    <row r="30" spans="1:14" x14ac:dyDescent="0.25">
      <c r="A30" s="243" t="s">
        <v>70</v>
      </c>
      <c r="B30" s="237">
        <f>(B29/B28)-1</f>
        <v>-2.2927912476756185E-2</v>
      </c>
      <c r="C30" s="237">
        <f t="shared" ref="C30" si="23">(C29/C28)-1</f>
        <v>-2.7960025123592303E-3</v>
      </c>
      <c r="D30" s="237">
        <f t="shared" ref="D30" si="24">(D29/D28)-1</f>
        <v>7.1042034874186921E-2</v>
      </c>
      <c r="E30" s="237">
        <f t="shared" ref="E30" si="25">(E29/E28)-1</f>
        <v>-6.3033841315512151E-2</v>
      </c>
      <c r="F30" s="237">
        <f t="shared" ref="F30" si="26">(F29/F28)-1</f>
        <v>5.0135041159249383E-4</v>
      </c>
      <c r="G30" s="237">
        <f t="shared" ref="G30" si="27">(G29/G28)-1</f>
        <v>-4.2791689063085281E-2</v>
      </c>
      <c r="H30" s="237">
        <f t="shared" ref="H30" si="28">(H29/H28)-1</f>
        <v>-1.5942242041129706E-2</v>
      </c>
      <c r="I30" s="237">
        <f t="shared" ref="I30" si="29">(I29/I28)-1</f>
        <v>-3.2881945041898231E-2</v>
      </c>
      <c r="J30" s="237">
        <f t="shared" ref="J30" si="30">(J29/J28)-1</f>
        <v>1.1581542030666636E-2</v>
      </c>
      <c r="K30" s="237">
        <f t="shared" ref="K30" si="31">(K29/K28)-1</f>
        <v>0.25562074967253423</v>
      </c>
      <c r="L30" s="237">
        <f t="shared" ref="L30" si="32">(L29/L28)-1</f>
        <v>0.27415512059233205</v>
      </c>
      <c r="M30" s="237">
        <f t="shared" ref="M30" si="33">(M29/M28)-1</f>
        <v>0.2820305625886621</v>
      </c>
      <c r="N30" s="237">
        <f>(N29/N28)-1</f>
        <v>5.6548235343376385E-2</v>
      </c>
    </row>
    <row r="31" spans="1:14" x14ac:dyDescent="0.25">
      <c r="A31" s="205" t="s">
        <v>65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4" x14ac:dyDescent="0.25">
      <c r="A32" s="205">
        <v>2017</v>
      </c>
      <c r="B32" s="206">
        <v>375440.00000000006</v>
      </c>
      <c r="C32" s="207">
        <v>429180</v>
      </c>
      <c r="D32" s="207">
        <v>526579.5</v>
      </c>
      <c r="E32" s="207">
        <v>523220</v>
      </c>
      <c r="F32" s="207">
        <v>556680</v>
      </c>
      <c r="G32" s="207">
        <v>530059.36</v>
      </c>
      <c r="H32" s="207">
        <v>540060</v>
      </c>
      <c r="I32" s="207">
        <v>490059.99999999994</v>
      </c>
      <c r="J32" s="207">
        <v>470480</v>
      </c>
      <c r="K32" s="207">
        <v>478960</v>
      </c>
      <c r="L32" s="207">
        <v>456300</v>
      </c>
      <c r="M32" s="207">
        <v>435505.00000000006</v>
      </c>
      <c r="N32" s="239">
        <f>SUM(B32:M32)</f>
        <v>5812523.8599999994</v>
      </c>
    </row>
    <row r="33" spans="1:14" x14ac:dyDescent="0.25">
      <c r="A33" s="205">
        <v>2018</v>
      </c>
      <c r="B33" s="235">
        <v>434371</v>
      </c>
      <c r="C33" s="236">
        <v>373740.01</v>
      </c>
      <c r="D33" s="236">
        <v>483000</v>
      </c>
      <c r="E33" s="236">
        <v>516380</v>
      </c>
      <c r="F33" s="236">
        <v>545080.01</v>
      </c>
      <c r="G33" s="236">
        <v>526860</v>
      </c>
      <c r="H33" s="236">
        <v>519200</v>
      </c>
      <c r="I33" s="236">
        <v>483280.00000000006</v>
      </c>
      <c r="J33" s="236">
        <v>463520</v>
      </c>
      <c r="K33" s="236">
        <v>461940</v>
      </c>
      <c r="L33" s="236">
        <v>434380.00000000006</v>
      </c>
      <c r="M33" s="236">
        <v>455420.01</v>
      </c>
      <c r="N33" s="242">
        <f>SUM(B33:M33)</f>
        <v>5697171.0299999993</v>
      </c>
    </row>
    <row r="34" spans="1:14" x14ac:dyDescent="0.25">
      <c r="A34" s="205">
        <v>2019</v>
      </c>
      <c r="B34" s="221">
        <v>405240</v>
      </c>
      <c r="C34" s="222">
        <v>382840</v>
      </c>
      <c r="D34" s="222">
        <v>437290</v>
      </c>
      <c r="E34" s="222">
        <v>452979.99</v>
      </c>
      <c r="F34" s="222">
        <v>513380</v>
      </c>
      <c r="G34" s="222">
        <v>485940.01</v>
      </c>
      <c r="H34" s="222">
        <v>532980.03</v>
      </c>
      <c r="I34" s="222">
        <v>474860</v>
      </c>
      <c r="J34" s="222">
        <v>485100</v>
      </c>
      <c r="K34" s="222">
        <v>472620</v>
      </c>
      <c r="L34" s="222">
        <v>436300</v>
      </c>
      <c r="M34" s="222">
        <v>479600.01</v>
      </c>
      <c r="N34" s="241">
        <f>SUM(B34:M34)</f>
        <v>5559130.04</v>
      </c>
    </row>
    <row r="35" spans="1:14" x14ac:dyDescent="0.25">
      <c r="A35" s="205">
        <v>2020</v>
      </c>
      <c r="B35" s="233">
        <v>440780.04</v>
      </c>
      <c r="C35" s="233">
        <v>433039.99</v>
      </c>
      <c r="D35" s="233">
        <v>478840</v>
      </c>
      <c r="E35" s="233">
        <v>534160</v>
      </c>
      <c r="F35" s="233">
        <v>574699.99999999988</v>
      </c>
      <c r="G35" s="233">
        <v>578519.99999999988</v>
      </c>
      <c r="H35" s="233">
        <v>560240.01000000013</v>
      </c>
      <c r="I35" s="233">
        <v>538654</v>
      </c>
      <c r="J35" s="233">
        <v>508699.99</v>
      </c>
      <c r="K35" s="233">
        <v>486720</v>
      </c>
      <c r="L35" s="233">
        <v>479620</v>
      </c>
      <c r="M35" s="233">
        <v>459880</v>
      </c>
      <c r="N35" s="240">
        <f>SUM(B35:M35)</f>
        <v>6073854.0300000003</v>
      </c>
    </row>
    <row r="36" spans="1:14" ht="15.75" thickBot="1" x14ac:dyDescent="0.3">
      <c r="A36" s="205">
        <v>2021</v>
      </c>
      <c r="B36" s="283">
        <f>FORM!C44</f>
        <v>430299.99999999994</v>
      </c>
      <c r="C36" s="283">
        <f>FORM!D44</f>
        <v>424100</v>
      </c>
      <c r="D36" s="283">
        <f>FORM!E44</f>
        <v>513779.99</v>
      </c>
      <c r="E36" s="283">
        <f>FORM!F44</f>
        <v>507720</v>
      </c>
      <c r="F36" s="283">
        <f>FORM!G44</f>
        <v>571600.01</v>
      </c>
      <c r="G36" s="283">
        <f>FORM!H44</f>
        <v>545060</v>
      </c>
      <c r="H36" s="283">
        <f>FORM!I44</f>
        <v>514319.99</v>
      </c>
      <c r="I36" s="283">
        <f>FORM!J44</f>
        <v>483699.99</v>
      </c>
      <c r="J36" s="283">
        <f>FORM!K44</f>
        <v>476529.99999999994</v>
      </c>
      <c r="K36" s="283">
        <f>FORM!L44</f>
        <v>495819.99999999994</v>
      </c>
      <c r="L36" s="283">
        <f>FORM!M44</f>
        <v>492960</v>
      </c>
      <c r="M36" s="283">
        <f>FORM!N44</f>
        <v>491620</v>
      </c>
      <c r="N36" s="284">
        <f>SUM(B36:M36)</f>
        <v>5947509.9800000004</v>
      </c>
    </row>
    <row r="37" spans="1:14" x14ac:dyDescent="0.25">
      <c r="A37" s="243" t="s">
        <v>70</v>
      </c>
      <c r="B37" s="237">
        <f>(B36/B35)-1</f>
        <v>-2.3776121985923049E-2</v>
      </c>
      <c r="C37" s="237">
        <f t="shared" ref="C37" si="34">(C36/C35)-1</f>
        <v>-2.0644721518675468E-2</v>
      </c>
      <c r="D37" s="237">
        <f t="shared" ref="D37" si="35">(D36/D35)-1</f>
        <v>7.2967985130732549E-2</v>
      </c>
      <c r="E37" s="237">
        <f t="shared" ref="E37" si="36">(E36/E35)-1</f>
        <v>-4.9498277669612123E-2</v>
      </c>
      <c r="F37" s="237">
        <f t="shared" ref="F37" si="37">(F36/F35)-1</f>
        <v>-5.3941012702277691E-3</v>
      </c>
      <c r="G37" s="237">
        <f t="shared" ref="G37" si="38">(G36/G35)-1</f>
        <v>-5.7837239853418931E-2</v>
      </c>
      <c r="H37" s="237">
        <f t="shared" ref="H37" si="39">(H36/H35)-1</f>
        <v>-8.1964906433583895E-2</v>
      </c>
      <c r="I37" s="237">
        <f t="shared" ref="I37" si="40">(I36/I35)-1</f>
        <v>-0.10202098192903053</v>
      </c>
      <c r="J37" s="237">
        <f t="shared" ref="J37" si="41">(J36/J35)-1</f>
        <v>-6.3239612015718816E-2</v>
      </c>
      <c r="K37" s="237">
        <f t="shared" ref="K37" si="42">(K36/K35)-1</f>
        <v>1.869658119658113E-2</v>
      </c>
      <c r="L37" s="237">
        <f t="shared" ref="L37" si="43">(L36/L35)-1</f>
        <v>2.7813685834619184E-2</v>
      </c>
      <c r="M37" s="237">
        <f t="shared" ref="M37" si="44">(M36/M35)-1</f>
        <v>6.9018004696877355E-2</v>
      </c>
      <c r="N37" s="237">
        <f>(N36/N35)-1</f>
        <v>-2.0801298380889732E-2</v>
      </c>
    </row>
  </sheetData>
  <sheetProtection sheet="1" objects="1" scenarios="1"/>
  <pageMargins left="0.70866141732283472" right="0.70866141732283472" top="0.86" bottom="0.56000000000000005" header="0.19685039370078741" footer="0.31496062992125984"/>
  <pageSetup paperSize="9" scale="80" orientation="landscape" r:id="rId1"/>
  <headerFooter>
    <oddHeader>&amp;L&amp;G&amp;C&amp;F&amp;R&amp;G</oddHeader>
    <oddFooter>&amp;L&amp;D&amp;C&amp;A&amp;R&amp;P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0"/>
  <sheetViews>
    <sheetView showZeros="0" topLeftCell="A2" zoomScale="90" zoomScaleNormal="90" workbookViewId="0">
      <pane xSplit="2" topLeftCell="C1" activePane="topRight" state="frozen"/>
      <selection activeCell="B45" sqref="B45"/>
      <selection pane="topRight" activeCell="C7" sqref="C7"/>
    </sheetView>
  </sheetViews>
  <sheetFormatPr baseColWidth="10" defaultColWidth="11.42578125" defaultRowHeight="15" x14ac:dyDescent="0.25"/>
  <cols>
    <col min="1" max="1" width="5.7109375" style="3" customWidth="1"/>
    <col min="2" max="2" width="26.140625" style="3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72</v>
      </c>
    </row>
    <row r="3" spans="1:15" ht="15.75" thickBot="1" x14ac:dyDescent="0.3">
      <c r="C3" s="4" t="s">
        <v>67</v>
      </c>
    </row>
    <row r="4" spans="1:15" ht="15.75" thickBot="1" x14ac:dyDescent="0.3">
      <c r="A4" s="8" t="s">
        <v>59</v>
      </c>
      <c r="B4" s="22" t="s">
        <v>57</v>
      </c>
      <c r="C4" s="42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8" t="s">
        <v>37</v>
      </c>
      <c r="O4" s="8" t="s">
        <v>38</v>
      </c>
    </row>
    <row r="5" spans="1:15" x14ac:dyDescent="0.25">
      <c r="A5" s="40">
        <v>1</v>
      </c>
      <c r="B5" s="45" t="s">
        <v>39</v>
      </c>
      <c r="C5" s="43">
        <v>15456.4</v>
      </c>
      <c r="D5" s="34">
        <v>13830.49</v>
      </c>
      <c r="E5" s="34">
        <v>16947.16</v>
      </c>
      <c r="F5" s="34">
        <v>15366.59</v>
      </c>
      <c r="G5" s="34">
        <v>14191.39</v>
      </c>
      <c r="H5" s="34">
        <v>17532.75</v>
      </c>
      <c r="I5" s="34">
        <v>16742.84</v>
      </c>
      <c r="J5" s="34">
        <v>15846.01</v>
      </c>
      <c r="K5" s="34">
        <v>14443.47</v>
      </c>
      <c r="L5" s="34">
        <v>14791.23</v>
      </c>
      <c r="M5" s="34">
        <v>14720</v>
      </c>
      <c r="N5" s="35">
        <v>16065</v>
      </c>
      <c r="O5" s="226">
        <f>SUM(Tabla2[[#This Row],[Gener]:[Desembre]])</f>
        <v>185933.33</v>
      </c>
    </row>
    <row r="6" spans="1:15" x14ac:dyDescent="0.25">
      <c r="A6" s="13">
        <v>2</v>
      </c>
      <c r="B6" s="46" t="s">
        <v>0</v>
      </c>
      <c r="C6" s="212">
        <v>13040.73</v>
      </c>
      <c r="D6" s="11">
        <v>11860</v>
      </c>
      <c r="E6" s="11">
        <v>12180</v>
      </c>
      <c r="F6" s="11">
        <v>11720</v>
      </c>
      <c r="G6" s="11">
        <v>11900</v>
      </c>
      <c r="H6" s="11">
        <v>16071.56</v>
      </c>
      <c r="I6" s="11">
        <v>13548.14</v>
      </c>
      <c r="J6" s="11">
        <v>15740</v>
      </c>
      <c r="K6" s="34">
        <v>11240</v>
      </c>
      <c r="L6" s="34">
        <v>12820</v>
      </c>
      <c r="M6" s="11">
        <v>11960</v>
      </c>
      <c r="N6" s="33">
        <v>12780</v>
      </c>
      <c r="O6" s="227">
        <f>SUM(Tabla2[[#This Row],[Gener]:[Desembre]])</f>
        <v>154860.43</v>
      </c>
    </row>
    <row r="7" spans="1:15" x14ac:dyDescent="0.25">
      <c r="A7" s="13">
        <v>3</v>
      </c>
      <c r="B7" s="46" t="s">
        <v>1</v>
      </c>
      <c r="C7" s="212">
        <v>40456.129999999997</v>
      </c>
      <c r="D7" s="11">
        <v>35433.69</v>
      </c>
      <c r="E7" s="11">
        <v>40980</v>
      </c>
      <c r="F7" s="11">
        <v>37880</v>
      </c>
      <c r="G7" s="11">
        <v>41580</v>
      </c>
      <c r="H7" s="11">
        <v>39370</v>
      </c>
      <c r="I7" s="11">
        <v>40300</v>
      </c>
      <c r="J7" s="11">
        <v>38020</v>
      </c>
      <c r="K7" s="34">
        <v>39740</v>
      </c>
      <c r="L7" s="34">
        <v>41440</v>
      </c>
      <c r="M7" s="11">
        <v>39980</v>
      </c>
      <c r="N7" s="33">
        <v>44041</v>
      </c>
      <c r="O7" s="227">
        <f>SUM(Tabla2[[#This Row],[Gener]:[Desembre]])</f>
        <v>479220.82</v>
      </c>
    </row>
    <row r="8" spans="1:15" x14ac:dyDescent="0.25">
      <c r="A8" s="13">
        <v>4</v>
      </c>
      <c r="B8" s="46" t="s">
        <v>2</v>
      </c>
      <c r="C8" s="212">
        <v>1012.93</v>
      </c>
      <c r="D8" s="11">
        <v>914.39</v>
      </c>
      <c r="E8" s="11">
        <v>1062.56</v>
      </c>
      <c r="F8" s="11">
        <v>1327.29</v>
      </c>
      <c r="G8" s="11">
        <v>961.26</v>
      </c>
      <c r="H8" s="11">
        <v>1325.36</v>
      </c>
      <c r="I8" s="11">
        <v>1189.3800000000001</v>
      </c>
      <c r="J8" s="11">
        <v>1226.46</v>
      </c>
      <c r="K8" s="34">
        <v>1576.03</v>
      </c>
      <c r="L8" s="34">
        <v>1238.33</v>
      </c>
      <c r="M8" s="11">
        <v>1184.8599999999999</v>
      </c>
      <c r="N8" s="33">
        <v>1345</v>
      </c>
      <c r="O8" s="227">
        <f>SUM(Tabla2[[#This Row],[Gener]:[Desembre]])</f>
        <v>14363.850000000002</v>
      </c>
    </row>
    <row r="9" spans="1:15" x14ac:dyDescent="0.25">
      <c r="A9" s="13">
        <v>5</v>
      </c>
      <c r="B9" s="46" t="s">
        <v>3</v>
      </c>
      <c r="C9" s="212">
        <v>24190</v>
      </c>
      <c r="D9" s="11">
        <v>20020</v>
      </c>
      <c r="E9" s="11">
        <v>20720</v>
      </c>
      <c r="F9" s="11">
        <v>20220</v>
      </c>
      <c r="G9" s="11">
        <v>18940</v>
      </c>
      <c r="H9" s="11">
        <v>23000</v>
      </c>
      <c r="I9" s="11">
        <v>23340</v>
      </c>
      <c r="J9" s="11">
        <v>18000</v>
      </c>
      <c r="K9" s="34">
        <v>19840</v>
      </c>
      <c r="L9" s="34">
        <v>20500</v>
      </c>
      <c r="M9" s="11">
        <v>19680</v>
      </c>
      <c r="N9" s="33">
        <v>20080</v>
      </c>
      <c r="O9" s="227">
        <f>SUM(Tabla2[[#This Row],[Gener]:[Desembre]])</f>
        <v>248530</v>
      </c>
    </row>
    <row r="10" spans="1:15" x14ac:dyDescent="0.25">
      <c r="A10" s="13">
        <v>6</v>
      </c>
      <c r="B10" s="46" t="s">
        <v>4</v>
      </c>
      <c r="C10" s="212">
        <v>35071.06</v>
      </c>
      <c r="D10" s="11">
        <v>34190.18</v>
      </c>
      <c r="E10" s="11">
        <v>37458.35</v>
      </c>
      <c r="F10" s="11">
        <v>34340.49</v>
      </c>
      <c r="G10" s="11">
        <v>36372.21</v>
      </c>
      <c r="H10" s="11">
        <v>36249.910000000003</v>
      </c>
      <c r="I10" s="11">
        <v>39082.69</v>
      </c>
      <c r="J10" s="11">
        <v>31794.26</v>
      </c>
      <c r="K10" s="34">
        <v>34077.15</v>
      </c>
      <c r="L10" s="34">
        <v>33336.29</v>
      </c>
      <c r="M10" s="11">
        <v>34337.19</v>
      </c>
      <c r="N10" s="33">
        <v>38888</v>
      </c>
      <c r="O10" s="227">
        <f>SUM(Tabla2[[#This Row],[Gener]:[Desembre]])</f>
        <v>425197.77999999997</v>
      </c>
    </row>
    <row r="11" spans="1:15" x14ac:dyDescent="0.25">
      <c r="A11" s="13">
        <v>8</v>
      </c>
      <c r="B11" s="47" t="s">
        <v>7</v>
      </c>
      <c r="C11" s="212">
        <v>1467.88</v>
      </c>
      <c r="D11" s="11">
        <v>1390.58</v>
      </c>
      <c r="E11" s="11">
        <v>1491.14</v>
      </c>
      <c r="F11" s="11">
        <v>2318.56</v>
      </c>
      <c r="G11" s="11">
        <v>1710.12</v>
      </c>
      <c r="H11" s="11">
        <v>2607.39</v>
      </c>
      <c r="I11" s="11">
        <v>2103.9499999999998</v>
      </c>
      <c r="J11" s="11">
        <v>2243.7800000000002</v>
      </c>
      <c r="K11" s="34">
        <v>2665.15</v>
      </c>
      <c r="L11" s="34">
        <v>1913.84</v>
      </c>
      <c r="M11" s="11">
        <v>1917.86</v>
      </c>
      <c r="N11" s="33">
        <v>2234</v>
      </c>
      <c r="O11" s="228">
        <f>SUM(Tabla2[[#This Row],[Gener]:[Desembre]])</f>
        <v>24064.25</v>
      </c>
    </row>
    <row r="12" spans="1:15" x14ac:dyDescent="0.25">
      <c r="A12" s="13">
        <v>9</v>
      </c>
      <c r="B12" s="46" t="s">
        <v>40</v>
      </c>
      <c r="C12" s="212">
        <v>0</v>
      </c>
      <c r="D12" s="11">
        <v>0</v>
      </c>
      <c r="E12" s="11"/>
      <c r="F12" s="11">
        <v>0</v>
      </c>
      <c r="G12" s="11"/>
      <c r="H12" s="11"/>
      <c r="I12" s="11"/>
      <c r="J12" s="11">
        <v>0</v>
      </c>
      <c r="K12" s="11">
        <v>0</v>
      </c>
      <c r="L12" s="11">
        <v>0</v>
      </c>
      <c r="M12" s="11"/>
      <c r="N12" s="11"/>
      <c r="O12" s="227">
        <f>SUM(Tabla2[[#This Row],[Gener]:[Desembre]])</f>
        <v>0</v>
      </c>
    </row>
    <row r="13" spans="1:15" x14ac:dyDescent="0.25">
      <c r="A13" s="13">
        <v>10</v>
      </c>
      <c r="B13" s="45" t="s">
        <v>41</v>
      </c>
      <c r="C13" s="212">
        <v>33983.589999999997</v>
      </c>
      <c r="D13" s="11">
        <v>29587.5</v>
      </c>
      <c r="E13" s="11">
        <v>32232.69</v>
      </c>
      <c r="F13" s="11">
        <v>27688.76</v>
      </c>
      <c r="G13" s="11">
        <v>28493.7</v>
      </c>
      <c r="H13" s="11">
        <v>29373.8</v>
      </c>
      <c r="I13" s="11">
        <v>31140.33</v>
      </c>
      <c r="J13" s="11">
        <v>27406.52</v>
      </c>
      <c r="K13" s="34">
        <v>28716.57</v>
      </c>
      <c r="L13" s="34">
        <v>29945.09</v>
      </c>
      <c r="M13" s="11">
        <v>30727.17</v>
      </c>
      <c r="N13" s="33">
        <v>33891</v>
      </c>
      <c r="O13" s="226">
        <f>SUM(Tabla2[[#This Row],[Gener]:[Desembre]])</f>
        <v>363186.72</v>
      </c>
    </row>
    <row r="14" spans="1:15" x14ac:dyDescent="0.25">
      <c r="A14" s="13">
        <v>11</v>
      </c>
      <c r="B14" s="46" t="s">
        <v>9</v>
      </c>
      <c r="C14" s="212">
        <v>108707.83</v>
      </c>
      <c r="D14" s="11">
        <v>97850.63</v>
      </c>
      <c r="E14" s="11">
        <v>100705.69</v>
      </c>
      <c r="F14" s="11">
        <v>90994.23</v>
      </c>
      <c r="G14" s="11">
        <v>98221.94</v>
      </c>
      <c r="H14" s="11">
        <v>101006.22</v>
      </c>
      <c r="I14" s="11">
        <v>104179.39</v>
      </c>
      <c r="J14" s="11">
        <v>85850.07</v>
      </c>
      <c r="K14" s="34">
        <v>101266.18</v>
      </c>
      <c r="L14" s="34">
        <v>95544.33</v>
      </c>
      <c r="M14" s="11">
        <v>99791.679999999993</v>
      </c>
      <c r="N14" s="33">
        <v>112077</v>
      </c>
      <c r="O14" s="227">
        <f>SUM(Tabla2[[#This Row],[Gener]:[Desembre]])</f>
        <v>1196195.19</v>
      </c>
    </row>
    <row r="15" spans="1:15" x14ac:dyDescent="0.25">
      <c r="A15" s="13">
        <v>12</v>
      </c>
      <c r="B15" s="46" t="s">
        <v>10</v>
      </c>
      <c r="C15" s="212">
        <v>3351.01</v>
      </c>
      <c r="D15" s="11">
        <v>3309.36</v>
      </c>
      <c r="E15" s="11">
        <v>4449.6099999999997</v>
      </c>
      <c r="F15" s="11">
        <v>3522.11</v>
      </c>
      <c r="G15" s="11">
        <v>3957.11</v>
      </c>
      <c r="H15" s="11">
        <v>5126.4399999999996</v>
      </c>
      <c r="I15" s="11">
        <v>3972.68</v>
      </c>
      <c r="J15" s="11">
        <v>4171.07</v>
      </c>
      <c r="K15" s="34">
        <v>5296.67</v>
      </c>
      <c r="L15" s="34">
        <v>3555.2</v>
      </c>
      <c r="M15" s="11">
        <v>4501.13</v>
      </c>
      <c r="N15" s="33">
        <v>5531</v>
      </c>
      <c r="O15" s="227">
        <f>SUM(Tabla2[[#This Row],[Gener]:[Desembre]])</f>
        <v>50743.389999999992</v>
      </c>
    </row>
    <row r="16" spans="1:15" x14ac:dyDescent="0.25">
      <c r="A16" s="13">
        <v>13</v>
      </c>
      <c r="B16" s="46" t="s">
        <v>42</v>
      </c>
      <c r="C16" s="212">
        <v>22820</v>
      </c>
      <c r="D16" s="11">
        <v>24200</v>
      </c>
      <c r="E16" s="11">
        <v>20680</v>
      </c>
      <c r="F16" s="11">
        <v>21060</v>
      </c>
      <c r="G16" s="11">
        <v>17130</v>
      </c>
      <c r="H16" s="11">
        <v>19733.75</v>
      </c>
      <c r="I16" s="11">
        <v>21140</v>
      </c>
      <c r="J16" s="11">
        <v>16540</v>
      </c>
      <c r="K16" s="34">
        <v>19340</v>
      </c>
      <c r="L16" s="34">
        <v>16640</v>
      </c>
      <c r="M16" s="11">
        <v>19140</v>
      </c>
      <c r="N16" s="33">
        <v>17800</v>
      </c>
      <c r="O16" s="227">
        <f>SUM(Tabla2[[#This Row],[Gener]:[Desembre]])</f>
        <v>236223.75</v>
      </c>
    </row>
    <row r="17" spans="1:17" x14ac:dyDescent="0.25">
      <c r="A17" s="13">
        <v>14</v>
      </c>
      <c r="B17" s="46" t="s">
        <v>11</v>
      </c>
      <c r="C17" s="212">
        <v>0</v>
      </c>
      <c r="D17" s="11">
        <v>0</v>
      </c>
      <c r="E17" s="11"/>
      <c r="F17" s="11">
        <v>0</v>
      </c>
      <c r="G17" s="11"/>
      <c r="H17" s="11"/>
      <c r="I17" s="11"/>
      <c r="J17" s="11">
        <v>0</v>
      </c>
      <c r="K17" s="34">
        <v>0</v>
      </c>
      <c r="L17" s="34">
        <v>0</v>
      </c>
      <c r="M17" s="11"/>
      <c r="N17" s="33"/>
      <c r="O17" s="227">
        <f>SUM(Tabla2[[#This Row],[Gener]:[Desembre]])</f>
        <v>0</v>
      </c>
    </row>
    <row r="18" spans="1:17" x14ac:dyDescent="0.25">
      <c r="A18" s="13">
        <v>15</v>
      </c>
      <c r="B18" s="46" t="s">
        <v>12</v>
      </c>
      <c r="C18" s="212">
        <v>10976.06</v>
      </c>
      <c r="D18" s="11">
        <v>10093.76</v>
      </c>
      <c r="E18" s="11">
        <v>11534.81</v>
      </c>
      <c r="F18" s="11">
        <v>13593.24</v>
      </c>
      <c r="G18" s="11">
        <v>10244.030000000001</v>
      </c>
      <c r="H18" s="11">
        <v>11114.14</v>
      </c>
      <c r="I18" s="11">
        <v>14532.28</v>
      </c>
      <c r="J18" s="11">
        <v>11077.31</v>
      </c>
      <c r="K18" s="34">
        <v>13827.96</v>
      </c>
      <c r="L18" s="34">
        <v>14568.93</v>
      </c>
      <c r="M18" s="11">
        <v>13900</v>
      </c>
      <c r="N18" s="33">
        <v>14700</v>
      </c>
      <c r="O18" s="227">
        <f>SUM(Tabla2[[#This Row],[Gener]:[Desembre]])</f>
        <v>150162.51999999999</v>
      </c>
    </row>
    <row r="19" spans="1:17" x14ac:dyDescent="0.25">
      <c r="A19" s="13">
        <v>16</v>
      </c>
      <c r="B19" s="46" t="s">
        <v>13</v>
      </c>
      <c r="C19" s="212">
        <v>0</v>
      </c>
      <c r="D19" s="11">
        <v>0</v>
      </c>
      <c r="E19" s="11"/>
      <c r="F19" s="11">
        <v>0</v>
      </c>
      <c r="G19" s="11"/>
      <c r="H19" s="11"/>
      <c r="I19" s="11"/>
      <c r="J19" s="11">
        <v>0</v>
      </c>
      <c r="K19" s="34">
        <v>0</v>
      </c>
      <c r="L19" s="34">
        <v>0</v>
      </c>
      <c r="M19" s="11"/>
      <c r="N19" s="33"/>
      <c r="O19" s="227">
        <f>SUM(Tabla2[[#This Row],[Gener]:[Desembre]])</f>
        <v>0</v>
      </c>
    </row>
    <row r="20" spans="1:17" x14ac:dyDescent="0.25">
      <c r="A20" s="13">
        <v>17</v>
      </c>
      <c r="B20" s="46" t="s">
        <v>14</v>
      </c>
      <c r="C20" s="212">
        <v>15216.5</v>
      </c>
      <c r="D20" s="11">
        <v>12918.44</v>
      </c>
      <c r="E20" s="11">
        <v>14590.4</v>
      </c>
      <c r="F20" s="11">
        <v>12634.15</v>
      </c>
      <c r="G20" s="11">
        <v>12169.59</v>
      </c>
      <c r="H20" s="11">
        <v>12455.01</v>
      </c>
      <c r="I20" s="11">
        <v>13718.31</v>
      </c>
      <c r="J20" s="11">
        <v>10365.290000000001</v>
      </c>
      <c r="K20" s="34">
        <v>12666.18</v>
      </c>
      <c r="L20" s="34">
        <v>12284.690000000002</v>
      </c>
      <c r="M20" s="11">
        <v>12248.83</v>
      </c>
      <c r="N20" s="33">
        <v>14294</v>
      </c>
      <c r="O20" s="227">
        <f>SUM(Tabla2[[#This Row],[Gener]:[Desembre]])</f>
        <v>155561.38999999998</v>
      </c>
    </row>
    <row r="21" spans="1:17" x14ac:dyDescent="0.25">
      <c r="A21" s="13">
        <v>18</v>
      </c>
      <c r="B21" s="46" t="s">
        <v>15</v>
      </c>
      <c r="C21" s="212">
        <v>90909.31</v>
      </c>
      <c r="D21" s="11">
        <v>83205.52</v>
      </c>
      <c r="E21" s="11">
        <v>82582.100000000006</v>
      </c>
      <c r="F21" s="11">
        <v>79941.16</v>
      </c>
      <c r="G21" s="11">
        <v>84689.42</v>
      </c>
      <c r="H21" s="11">
        <v>84082.78</v>
      </c>
      <c r="I21" s="11">
        <v>85802.69</v>
      </c>
      <c r="J21" s="11">
        <v>72217.91</v>
      </c>
      <c r="K21" s="34">
        <v>86661.34</v>
      </c>
      <c r="L21" s="34">
        <v>90966.28</v>
      </c>
      <c r="M21" s="11">
        <v>83738.509999999995</v>
      </c>
      <c r="N21" s="33">
        <v>102627</v>
      </c>
      <c r="O21" s="227">
        <f>SUM(Tabla2[[#This Row],[Gener]:[Desembre]])</f>
        <v>1027424.02</v>
      </c>
    </row>
    <row r="22" spans="1:17" x14ac:dyDescent="0.25">
      <c r="A22" s="13">
        <v>19</v>
      </c>
      <c r="B22" s="46" t="s">
        <v>16</v>
      </c>
      <c r="C22" s="212">
        <v>15207.69</v>
      </c>
      <c r="D22" s="11">
        <v>12930.05</v>
      </c>
      <c r="E22" s="11">
        <v>14221.16</v>
      </c>
      <c r="F22" s="11">
        <v>12992.1</v>
      </c>
      <c r="G22" s="11">
        <v>11937.68</v>
      </c>
      <c r="H22" s="11">
        <v>14224.19</v>
      </c>
      <c r="I22" s="11">
        <v>13759.84</v>
      </c>
      <c r="J22" s="11">
        <v>12134.92</v>
      </c>
      <c r="K22" s="34">
        <v>11577.65</v>
      </c>
      <c r="L22" s="34">
        <v>12718.18</v>
      </c>
      <c r="M22" s="11">
        <v>13026.9</v>
      </c>
      <c r="N22" s="33">
        <v>14650</v>
      </c>
      <c r="O22" s="227">
        <f>SUM(Tabla2[[#This Row],[Gener]:[Desembre]])</f>
        <v>159380.35999999999</v>
      </c>
    </row>
    <row r="23" spans="1:17" x14ac:dyDescent="0.25">
      <c r="A23" s="13">
        <v>20</v>
      </c>
      <c r="B23" s="46" t="s">
        <v>17</v>
      </c>
      <c r="C23" s="212">
        <v>0</v>
      </c>
      <c r="D23" s="11">
        <v>0</v>
      </c>
      <c r="E23" s="11"/>
      <c r="F23" s="11">
        <v>0</v>
      </c>
      <c r="G23" s="11"/>
      <c r="H23" s="11"/>
      <c r="I23" s="11"/>
      <c r="J23" s="11">
        <v>0</v>
      </c>
      <c r="K23" s="34">
        <v>0</v>
      </c>
      <c r="L23" s="34">
        <v>0</v>
      </c>
      <c r="M23" s="11"/>
      <c r="N23" s="33"/>
      <c r="O23" s="227">
        <f>SUM(Tabla2[[#This Row],[Gener]:[Desembre]])</f>
        <v>0</v>
      </c>
    </row>
    <row r="24" spans="1:17" x14ac:dyDescent="0.25">
      <c r="A24" s="13">
        <v>21</v>
      </c>
      <c r="B24" s="46" t="s">
        <v>18</v>
      </c>
      <c r="C24" s="212">
        <v>820.61</v>
      </c>
      <c r="D24" s="11">
        <v>791.75</v>
      </c>
      <c r="E24" s="11">
        <v>783.69</v>
      </c>
      <c r="F24" s="11">
        <v>1159.95</v>
      </c>
      <c r="G24" s="11">
        <v>912.13</v>
      </c>
      <c r="H24" s="11">
        <v>1362.91</v>
      </c>
      <c r="I24" s="11">
        <v>1095.3599999999999</v>
      </c>
      <c r="J24" s="11">
        <v>1203.9100000000001</v>
      </c>
      <c r="K24" s="34">
        <v>1281.8499999999999</v>
      </c>
      <c r="L24" s="34">
        <v>935.75</v>
      </c>
      <c r="M24" s="11">
        <v>1020</v>
      </c>
      <c r="N24" s="33">
        <v>1107</v>
      </c>
      <c r="O24" s="227">
        <f>SUM(Tabla2[[#This Row],[Gener]:[Desembre]])</f>
        <v>12474.91</v>
      </c>
    </row>
    <row r="25" spans="1:17" x14ac:dyDescent="0.25">
      <c r="A25" s="13">
        <v>22</v>
      </c>
      <c r="B25" s="46" t="s">
        <v>19</v>
      </c>
      <c r="C25" s="212">
        <v>28028.79</v>
      </c>
      <c r="D25" s="11">
        <v>22702.239999999998</v>
      </c>
      <c r="E25" s="11">
        <v>25651.24</v>
      </c>
      <c r="F25" s="11">
        <v>24975.98</v>
      </c>
      <c r="G25" s="11">
        <v>24657.38</v>
      </c>
      <c r="H25" s="11">
        <v>24305.39</v>
      </c>
      <c r="I25" s="11">
        <v>27050.91</v>
      </c>
      <c r="J25" s="11">
        <v>22001.29</v>
      </c>
      <c r="K25" s="34">
        <v>25360.44</v>
      </c>
      <c r="L25" s="34">
        <v>24365.06</v>
      </c>
      <c r="M25" s="11">
        <v>27245.119999999999</v>
      </c>
      <c r="N25" s="33">
        <v>29654</v>
      </c>
      <c r="O25" s="227">
        <f>SUM(Tabla2[[#This Row],[Gener]:[Desembre]])</f>
        <v>305997.84000000003</v>
      </c>
    </row>
    <row r="26" spans="1:17" x14ac:dyDescent="0.25">
      <c r="A26" s="13">
        <v>23</v>
      </c>
      <c r="B26" s="46" t="s">
        <v>43</v>
      </c>
      <c r="C26" s="212">
        <v>15899.33</v>
      </c>
      <c r="D26" s="11">
        <v>14680</v>
      </c>
      <c r="E26" s="11">
        <v>16490</v>
      </c>
      <c r="F26" s="11">
        <v>14810</v>
      </c>
      <c r="G26" s="11">
        <v>13540</v>
      </c>
      <c r="H26" s="11">
        <v>18070</v>
      </c>
      <c r="I26" s="11">
        <v>15840</v>
      </c>
      <c r="J26" s="11">
        <v>16510</v>
      </c>
      <c r="K26" s="34">
        <v>14920</v>
      </c>
      <c r="L26" s="34">
        <v>15984</v>
      </c>
      <c r="M26" s="11">
        <v>17240</v>
      </c>
      <c r="N26" s="33">
        <v>16660</v>
      </c>
      <c r="O26" s="227">
        <f>SUM(Tabla2[[#This Row],[Gener]:[Desembre]])</f>
        <v>190643.33000000002</v>
      </c>
    </row>
    <row r="27" spans="1:17" x14ac:dyDescent="0.25">
      <c r="A27" s="13">
        <v>24</v>
      </c>
      <c r="B27" s="46" t="s">
        <v>44</v>
      </c>
      <c r="C27" s="217">
        <v>887.72</v>
      </c>
      <c r="D27" s="168">
        <v>387.17</v>
      </c>
      <c r="E27" s="168">
        <v>440.08</v>
      </c>
      <c r="F27" s="168">
        <v>314.39999999999998</v>
      </c>
      <c r="G27" s="168">
        <v>523.78</v>
      </c>
      <c r="H27" s="168">
        <v>481.52</v>
      </c>
      <c r="I27" s="218">
        <v>2160.64</v>
      </c>
      <c r="J27" s="168">
        <v>366.54</v>
      </c>
      <c r="K27" s="34">
        <v>467.36</v>
      </c>
      <c r="L27" s="34">
        <v>427.89</v>
      </c>
      <c r="M27" s="11">
        <v>394.01</v>
      </c>
      <c r="N27" s="33">
        <v>571</v>
      </c>
      <c r="O27" s="227">
        <f>SUM(Tabla2[[#This Row],[Gener]:[Desembre]])</f>
        <v>7422.11</v>
      </c>
    </row>
    <row r="28" spans="1:17" x14ac:dyDescent="0.25">
      <c r="A28" s="13">
        <v>25</v>
      </c>
      <c r="B28" s="46" t="s">
        <v>20</v>
      </c>
      <c r="C28" s="212">
        <v>33279.47</v>
      </c>
      <c r="D28" s="296">
        <v>31435.91</v>
      </c>
      <c r="E28" s="296">
        <v>32836.339999999997</v>
      </c>
      <c r="F28" s="296">
        <v>33250.639999999999</v>
      </c>
      <c r="G28" s="296">
        <v>31495.05</v>
      </c>
      <c r="H28" s="296">
        <v>37828.11</v>
      </c>
      <c r="I28" s="296">
        <v>33607.360000000001</v>
      </c>
      <c r="J28" s="296">
        <f>29891.44+3540</f>
        <v>33431.440000000002</v>
      </c>
      <c r="K28" s="297">
        <v>35790.33</v>
      </c>
      <c r="L28" s="297">
        <v>33207.72</v>
      </c>
      <c r="M28" s="296">
        <v>35815</v>
      </c>
      <c r="N28" s="298">
        <v>36706</v>
      </c>
      <c r="O28" s="227">
        <f>SUM(Tabla2[[#This Row],[Gener]:[Desembre]])</f>
        <v>408683.37</v>
      </c>
    </row>
    <row r="29" spans="1:17" x14ac:dyDescent="0.25">
      <c r="A29" s="13">
        <v>26</v>
      </c>
      <c r="B29" s="46" t="s">
        <v>45</v>
      </c>
      <c r="C29" s="212">
        <v>0</v>
      </c>
      <c r="D29" s="11">
        <v>0</v>
      </c>
      <c r="E29" s="11"/>
      <c r="F29" s="11">
        <v>0</v>
      </c>
      <c r="G29" s="11"/>
      <c r="H29" s="11"/>
      <c r="I29" s="11"/>
      <c r="J29" s="11">
        <v>0</v>
      </c>
      <c r="K29" s="34">
        <v>0</v>
      </c>
      <c r="L29" s="34">
        <v>0</v>
      </c>
      <c r="M29" s="11"/>
      <c r="N29" s="33"/>
      <c r="O29" s="227">
        <f>SUM(Tabla2[[#This Row],[Gener]:[Desembre]])</f>
        <v>0</v>
      </c>
      <c r="Q29" s="20"/>
    </row>
    <row r="30" spans="1:17" x14ac:dyDescent="0.25">
      <c r="A30" s="13">
        <v>27</v>
      </c>
      <c r="B30" s="46" t="s">
        <v>46</v>
      </c>
      <c r="C30" s="217">
        <v>0</v>
      </c>
      <c r="D30" s="168">
        <v>0</v>
      </c>
      <c r="E30" s="168"/>
      <c r="F30" s="168">
        <v>0</v>
      </c>
      <c r="G30" s="11"/>
      <c r="H30" s="11"/>
      <c r="I30" s="11"/>
      <c r="J30" s="11">
        <v>0</v>
      </c>
      <c r="K30" s="34">
        <v>0</v>
      </c>
      <c r="L30" s="34">
        <v>0</v>
      </c>
      <c r="M30" s="11"/>
      <c r="N30" s="33"/>
      <c r="O30" s="227">
        <f>SUM(Tabla2[[#This Row],[Gener]:[Desembre]])</f>
        <v>0</v>
      </c>
    </row>
    <row r="31" spans="1:17" x14ac:dyDescent="0.25">
      <c r="A31" s="13">
        <v>28</v>
      </c>
      <c r="B31" s="46" t="s">
        <v>47</v>
      </c>
      <c r="C31" s="212">
        <v>13885.300000000001</v>
      </c>
      <c r="D31" s="11">
        <v>11647.03</v>
      </c>
      <c r="E31" s="11">
        <v>12394.4</v>
      </c>
      <c r="F31" s="11">
        <v>10444.129999999999</v>
      </c>
      <c r="G31" s="11">
        <v>12374.13</v>
      </c>
      <c r="H31" s="11">
        <v>14712.58</v>
      </c>
      <c r="I31" s="11">
        <v>12943.04</v>
      </c>
      <c r="J31" s="11">
        <v>12637.41</v>
      </c>
      <c r="K31" s="34">
        <v>12007.36</v>
      </c>
      <c r="L31" s="34">
        <v>10112.25</v>
      </c>
      <c r="M31" s="11">
        <v>11196.05</v>
      </c>
      <c r="N31" s="33">
        <v>13394</v>
      </c>
      <c r="O31" s="227">
        <f>SUM(Tabla2[[#This Row],[Gener]:[Desembre]])</f>
        <v>147747.68</v>
      </c>
    </row>
    <row r="32" spans="1:17" x14ac:dyDescent="0.25">
      <c r="A32" s="13">
        <v>29</v>
      </c>
      <c r="B32" s="46" t="s">
        <v>48</v>
      </c>
      <c r="C32" s="212">
        <v>198.59</v>
      </c>
      <c r="D32" s="11">
        <v>140.61000000000001</v>
      </c>
      <c r="E32" s="11">
        <v>202.61</v>
      </c>
      <c r="F32" s="11">
        <v>274.2</v>
      </c>
      <c r="G32" s="11">
        <v>196.49</v>
      </c>
      <c r="H32" s="11">
        <v>324.33999999999997</v>
      </c>
      <c r="I32" s="11">
        <v>251.31</v>
      </c>
      <c r="J32" s="11">
        <v>265.85000000000002</v>
      </c>
      <c r="K32" s="34">
        <v>269.43</v>
      </c>
      <c r="L32" s="34">
        <v>231.07</v>
      </c>
      <c r="M32" s="11">
        <v>223.74</v>
      </c>
      <c r="N32" s="33">
        <v>254</v>
      </c>
      <c r="O32" s="227">
        <f>SUM(Tabla2[[#This Row],[Gener]:[Desembre]])</f>
        <v>2832.24</v>
      </c>
    </row>
    <row r="33" spans="1:15" x14ac:dyDescent="0.25">
      <c r="A33" s="13">
        <v>30</v>
      </c>
      <c r="B33" s="46" t="s">
        <v>50</v>
      </c>
      <c r="C33" s="212">
        <v>0</v>
      </c>
      <c r="D33" s="11">
        <v>0</v>
      </c>
      <c r="E33" s="11"/>
      <c r="F33" s="11">
        <v>0</v>
      </c>
      <c r="G33" s="11"/>
      <c r="H33" s="11"/>
      <c r="I33" s="11"/>
      <c r="J33" s="11">
        <v>0</v>
      </c>
      <c r="K33" s="34">
        <v>0</v>
      </c>
      <c r="L33" s="34">
        <v>0</v>
      </c>
      <c r="M33" s="11"/>
      <c r="N33" s="33"/>
      <c r="O33" s="227">
        <f>SUM(Tabla2[[#This Row],[Gener]:[Desembre]])</f>
        <v>0</v>
      </c>
    </row>
    <row r="34" spans="1:15" x14ac:dyDescent="0.25">
      <c r="A34" s="13">
        <v>31</v>
      </c>
      <c r="B34" s="46" t="s">
        <v>51</v>
      </c>
      <c r="C34" s="212">
        <v>1956.5900000000001</v>
      </c>
      <c r="D34" s="11">
        <v>1694.35</v>
      </c>
      <c r="E34" s="11">
        <v>1378.16</v>
      </c>
      <c r="F34" s="11">
        <v>1613.86</v>
      </c>
      <c r="G34" s="11">
        <v>1195.9000000000001</v>
      </c>
      <c r="H34" s="11">
        <v>1856.95</v>
      </c>
      <c r="I34" s="11">
        <v>1501.08</v>
      </c>
      <c r="J34" s="11">
        <v>3659.22</v>
      </c>
      <c r="K34" s="34">
        <v>1837.49</v>
      </c>
      <c r="L34" s="34">
        <v>1693.64</v>
      </c>
      <c r="M34" s="11">
        <v>1984.82</v>
      </c>
      <c r="N34" s="33">
        <v>1330</v>
      </c>
      <c r="O34" s="227">
        <f>SUM(Tabla2[[#This Row],[Gener]:[Desembre]])</f>
        <v>21702.06</v>
      </c>
    </row>
    <row r="35" spans="1:15" x14ac:dyDescent="0.25">
      <c r="A35" s="13">
        <v>32</v>
      </c>
      <c r="B35" s="46" t="s">
        <v>52</v>
      </c>
      <c r="C35" s="212">
        <v>21042.91</v>
      </c>
      <c r="D35" s="11">
        <v>18801.740000000002</v>
      </c>
      <c r="E35" s="11">
        <v>21107.34</v>
      </c>
      <c r="F35" s="11">
        <v>22418.38</v>
      </c>
      <c r="G35" s="11">
        <v>20869.509999999998</v>
      </c>
      <c r="H35" s="11">
        <v>24053.62</v>
      </c>
      <c r="I35" s="11">
        <v>24212.37</v>
      </c>
      <c r="J35" s="11">
        <v>19202.240000000002</v>
      </c>
      <c r="K35" s="34">
        <v>17612.23</v>
      </c>
      <c r="L35" s="34">
        <v>19159.14</v>
      </c>
      <c r="M35" s="11">
        <v>18982.330000000002</v>
      </c>
      <c r="N35" s="33">
        <v>21832</v>
      </c>
      <c r="O35" s="227">
        <f>SUM(Tabla2[[#This Row],[Gener]:[Desembre]])</f>
        <v>249293.81</v>
      </c>
    </row>
    <row r="36" spans="1:15" x14ac:dyDescent="0.25">
      <c r="A36" s="13">
        <v>33</v>
      </c>
      <c r="B36" s="46" t="s">
        <v>21</v>
      </c>
      <c r="C36" s="212">
        <v>0</v>
      </c>
      <c r="D36" s="11">
        <v>0</v>
      </c>
      <c r="E36" s="11"/>
      <c r="F36" s="11">
        <v>0</v>
      </c>
      <c r="G36" s="11"/>
      <c r="H36" s="11"/>
      <c r="I36" s="11"/>
      <c r="J36" s="11">
        <v>0</v>
      </c>
      <c r="K36" s="34">
        <v>0</v>
      </c>
      <c r="L36" s="34">
        <v>0</v>
      </c>
      <c r="M36" s="11"/>
      <c r="N36" s="33"/>
      <c r="O36" s="227">
        <f>SUM(Tabla2[[#This Row],[Gener]:[Desembre]])</f>
        <v>0</v>
      </c>
    </row>
    <row r="37" spans="1:15" x14ac:dyDescent="0.25">
      <c r="A37" s="13">
        <v>34</v>
      </c>
      <c r="B37" s="46" t="s">
        <v>22</v>
      </c>
      <c r="C37" s="212">
        <v>5511.88</v>
      </c>
      <c r="D37" s="11">
        <v>5395.31</v>
      </c>
      <c r="E37" s="11">
        <v>5646.05</v>
      </c>
      <c r="F37" s="11">
        <v>6045.13</v>
      </c>
      <c r="G37" s="11">
        <v>5526.46</v>
      </c>
      <c r="H37" s="11">
        <v>6659.28</v>
      </c>
      <c r="I37" s="11">
        <v>6262.21</v>
      </c>
      <c r="J37" s="11">
        <v>8142.87</v>
      </c>
      <c r="K37" s="34">
        <v>5380.18</v>
      </c>
      <c r="L37" s="34">
        <v>5243.2</v>
      </c>
      <c r="M37" s="11">
        <v>5946.94</v>
      </c>
      <c r="N37" s="33">
        <v>5280</v>
      </c>
      <c r="O37" s="227">
        <f>SUM(Tabla2[[#This Row],[Gener]:[Desembre]])</f>
        <v>71039.509999999995</v>
      </c>
    </row>
    <row r="38" spans="1:15" x14ac:dyDescent="0.25">
      <c r="A38" s="13">
        <v>35</v>
      </c>
      <c r="B38" s="46" t="s">
        <v>23</v>
      </c>
      <c r="C38" s="212">
        <v>7381.91</v>
      </c>
      <c r="D38" s="11">
        <v>6991.19</v>
      </c>
      <c r="E38" s="11">
        <v>6783.1</v>
      </c>
      <c r="F38" s="11">
        <v>6771.88</v>
      </c>
      <c r="G38" s="11">
        <v>7389.73</v>
      </c>
      <c r="H38" s="11">
        <v>7586.69</v>
      </c>
      <c r="I38" s="11">
        <v>7727.63</v>
      </c>
      <c r="J38" s="11">
        <v>8157.33</v>
      </c>
      <c r="K38" s="34">
        <v>6928.28</v>
      </c>
      <c r="L38" s="34">
        <v>5550.92</v>
      </c>
      <c r="M38" s="11">
        <v>6966.83</v>
      </c>
      <c r="N38" s="33">
        <v>6925</v>
      </c>
      <c r="O38" s="227">
        <f>SUM(Tabla2[[#This Row],[Gener]:[Desembre]])</f>
        <v>85160.49</v>
      </c>
    </row>
    <row r="39" spans="1:15" x14ac:dyDescent="0.25">
      <c r="A39" s="13">
        <v>36</v>
      </c>
      <c r="B39" s="46" t="s">
        <v>24</v>
      </c>
      <c r="C39" s="212">
        <v>1775.19</v>
      </c>
      <c r="D39" s="11">
        <v>1510.54</v>
      </c>
      <c r="E39" s="11">
        <v>2171.41</v>
      </c>
      <c r="F39" s="11">
        <v>2433.73</v>
      </c>
      <c r="G39" s="11">
        <v>1347.89</v>
      </c>
      <c r="H39" s="11">
        <v>1749.27</v>
      </c>
      <c r="I39" s="11">
        <v>1647.32</v>
      </c>
      <c r="J39" s="11">
        <v>1578.93</v>
      </c>
      <c r="K39" s="34">
        <v>1946.52</v>
      </c>
      <c r="L39" s="34">
        <v>1369.8</v>
      </c>
      <c r="M39" s="11">
        <v>1793.15</v>
      </c>
      <c r="N39" s="33">
        <v>1139</v>
      </c>
      <c r="O39" s="227">
        <f>SUM(Tabla2[[#This Row],[Gener]:[Desembre]])</f>
        <v>20462.75</v>
      </c>
    </row>
    <row r="40" spans="1:15" x14ac:dyDescent="0.25">
      <c r="A40" s="13">
        <v>37</v>
      </c>
      <c r="B40" s="46" t="s">
        <v>25</v>
      </c>
      <c r="C40" s="212">
        <v>12673.86</v>
      </c>
      <c r="D40" s="11">
        <v>10973.2</v>
      </c>
      <c r="E40" s="11">
        <v>11064.92</v>
      </c>
      <c r="F40" s="11">
        <v>9265.0499999999993</v>
      </c>
      <c r="G40" s="11">
        <v>10425.870000000001</v>
      </c>
      <c r="H40" s="11">
        <v>11015.6</v>
      </c>
      <c r="I40" s="11">
        <v>11229.21</v>
      </c>
      <c r="J40" s="11">
        <v>11727.52</v>
      </c>
      <c r="K40" s="34">
        <v>9238.0400000000009</v>
      </c>
      <c r="L40" s="34">
        <v>8654.4500000000007</v>
      </c>
      <c r="M40" s="11">
        <v>9893.75</v>
      </c>
      <c r="N40" s="33">
        <v>11217</v>
      </c>
      <c r="O40" s="227">
        <f>SUM(Tabla2[[#This Row],[Gener]:[Desembre]])</f>
        <v>127378.46999999999</v>
      </c>
    </row>
    <row r="41" spans="1:15" x14ac:dyDescent="0.25">
      <c r="A41" s="13">
        <v>38</v>
      </c>
      <c r="B41" s="46" t="s">
        <v>5</v>
      </c>
      <c r="C41" s="212">
        <v>1633.82</v>
      </c>
      <c r="D41" s="11">
        <v>1459.4</v>
      </c>
      <c r="E41" s="11">
        <v>1880.4</v>
      </c>
      <c r="F41" s="11">
        <v>1466.52</v>
      </c>
      <c r="G41" s="11">
        <v>1864.66</v>
      </c>
      <c r="H41" s="11">
        <v>1990.98</v>
      </c>
      <c r="I41" s="11">
        <v>1404.7</v>
      </c>
      <c r="J41" s="11">
        <v>1963.4</v>
      </c>
      <c r="K41" s="34">
        <v>2472.65</v>
      </c>
      <c r="L41" s="34">
        <v>2100.61</v>
      </c>
      <c r="M41" s="11">
        <v>1085.23</v>
      </c>
      <c r="N41" s="33">
        <v>2287</v>
      </c>
      <c r="O41" s="227">
        <f>SUM(Tabla2[[#This Row],[Gener]:[Desembre]])</f>
        <v>21609.37</v>
      </c>
    </row>
    <row r="42" spans="1:15" x14ac:dyDescent="0.25">
      <c r="A42" s="13">
        <v>39</v>
      </c>
      <c r="B42" s="46" t="s">
        <v>6</v>
      </c>
      <c r="C42" s="217">
        <v>982.18</v>
      </c>
      <c r="D42" s="168">
        <v>991.28</v>
      </c>
      <c r="E42" s="168">
        <v>1408.19</v>
      </c>
      <c r="F42" s="168">
        <v>1151.1400000000001</v>
      </c>
      <c r="G42" s="168">
        <v>1390.2</v>
      </c>
      <c r="H42" s="168">
        <v>2025.42</v>
      </c>
      <c r="I42" s="218">
        <v>1632.83</v>
      </c>
      <c r="J42" s="168">
        <v>1238.07</v>
      </c>
      <c r="K42" s="34">
        <v>1559.19</v>
      </c>
      <c r="L42" s="34">
        <v>1350.19</v>
      </c>
      <c r="M42" s="11">
        <v>1134.06</v>
      </c>
      <c r="N42" s="33">
        <v>1492</v>
      </c>
      <c r="O42" s="227">
        <f>SUM(Tabla2[[#This Row],[Gener]:[Desembre]])</f>
        <v>16354.75</v>
      </c>
    </row>
    <row r="43" spans="1:15" x14ac:dyDescent="0.25">
      <c r="A43" s="13">
        <v>40</v>
      </c>
      <c r="B43" s="46" t="s">
        <v>8</v>
      </c>
      <c r="C43" s="212">
        <v>154.72999999999999</v>
      </c>
      <c r="D43" s="11">
        <v>273.68</v>
      </c>
      <c r="E43" s="11">
        <v>476.4</v>
      </c>
      <c r="F43" s="11">
        <v>108.33</v>
      </c>
      <c r="G43" s="11">
        <v>253.35</v>
      </c>
      <c r="H43" s="11">
        <v>434.01</v>
      </c>
      <c r="I43" s="11">
        <v>300.49</v>
      </c>
      <c r="J43" s="11">
        <v>470.4</v>
      </c>
      <c r="K43" s="34">
        <v>490.94</v>
      </c>
      <c r="L43" s="34">
        <v>275.91000000000003</v>
      </c>
      <c r="M43" s="11">
        <v>104.35</v>
      </c>
      <c r="N43" s="33">
        <v>412</v>
      </c>
      <c r="O43" s="227">
        <f>SUM(Tabla2[[#This Row],[Gener]:[Desembre]])</f>
        <v>3754.5899999999997</v>
      </c>
    </row>
    <row r="44" spans="1:15" ht="15.75" thickBot="1" x14ac:dyDescent="0.3">
      <c r="A44" s="91">
        <v>41</v>
      </c>
      <c r="B44" s="47" t="s">
        <v>49</v>
      </c>
      <c r="C44" s="43">
        <v>0</v>
      </c>
      <c r="D44" s="34">
        <v>0</v>
      </c>
      <c r="E44" s="34"/>
      <c r="F44" s="21">
        <v>0</v>
      </c>
      <c r="G44" s="21"/>
      <c r="H44" s="21"/>
      <c r="I44" s="21"/>
      <c r="J44" s="34">
        <v>0</v>
      </c>
      <c r="K44" s="34">
        <v>0</v>
      </c>
      <c r="L44" s="34">
        <v>0</v>
      </c>
      <c r="M44" s="21"/>
      <c r="N44" s="36"/>
      <c r="O44" s="228">
        <f>SUM(Tabla2[[#This Row],[Gener]:[Desembre]])</f>
        <v>0</v>
      </c>
    </row>
    <row r="45" spans="1:15" s="4" customFormat="1" ht="15.75" thickBot="1" x14ac:dyDescent="0.3">
      <c r="A45" s="92"/>
      <c r="B45" s="22" t="s">
        <v>71</v>
      </c>
      <c r="C45" s="42">
        <f>SUBTOTAL(109,C5:C44)</f>
        <v>577979.99999999988</v>
      </c>
      <c r="D45" s="42">
        <f t="shared" ref="D45:N45" si="0">SUBTOTAL(109,D5:D44)</f>
        <v>521609.99</v>
      </c>
      <c r="E45" s="42">
        <f t="shared" si="0"/>
        <v>552550.00000000012</v>
      </c>
      <c r="F45" s="42">
        <f t="shared" si="0"/>
        <v>522102</v>
      </c>
      <c r="G45" s="42">
        <f t="shared" si="0"/>
        <v>526460.98</v>
      </c>
      <c r="H45" s="42">
        <f t="shared" si="0"/>
        <v>567729.97000000009</v>
      </c>
      <c r="I45" s="42">
        <f t="shared" si="0"/>
        <v>573418.97999999986</v>
      </c>
      <c r="J45" s="42">
        <f t="shared" si="0"/>
        <v>505190.01999999996</v>
      </c>
      <c r="K45" s="42">
        <f t="shared" si="0"/>
        <v>540496.6399999999</v>
      </c>
      <c r="L45" s="42">
        <f t="shared" si="0"/>
        <v>532923.98999999987</v>
      </c>
      <c r="M45" s="42">
        <f t="shared" si="0"/>
        <v>541879.51000000013</v>
      </c>
      <c r="N45" s="42">
        <f t="shared" si="0"/>
        <v>601263</v>
      </c>
      <c r="O45" s="8">
        <f>SUBTOTAL(109,O5:O44)</f>
        <v>6563605.0800000001</v>
      </c>
    </row>
    <row r="46" spans="1:15" ht="15.75" thickBot="1" x14ac:dyDescent="0.3">
      <c r="A46" s="11"/>
      <c r="B46" s="48" t="s">
        <v>69</v>
      </c>
      <c r="C46" s="44">
        <v>618959.99999999977</v>
      </c>
      <c r="D46" s="37">
        <v>498470.26</v>
      </c>
      <c r="E46" s="37">
        <v>547400.02000000014</v>
      </c>
      <c r="F46" s="37">
        <v>566800</v>
      </c>
      <c r="G46" s="37">
        <v>541640.00999999989</v>
      </c>
      <c r="H46" s="37">
        <v>609488.57000000007</v>
      </c>
      <c r="I46" s="37">
        <v>585970.05000000005</v>
      </c>
      <c r="J46" s="37">
        <v>500221.00999999995</v>
      </c>
      <c r="K46" s="37">
        <v>570779.9600000002</v>
      </c>
      <c r="L46" s="37">
        <v>556520.01999999979</v>
      </c>
      <c r="M46" s="37">
        <v>546339.98999999976</v>
      </c>
      <c r="N46" s="39">
        <v>669765.96999999986</v>
      </c>
      <c r="O46" s="41">
        <f>SUM(Tabla2[[#This Row],[Gener]:[Desembre]])</f>
        <v>6812355.8599999985</v>
      </c>
    </row>
    <row r="47" spans="1:15" x14ac:dyDescent="0.25">
      <c r="A47" s="21"/>
      <c r="B47" s="82" t="s">
        <v>58</v>
      </c>
      <c r="C47" s="84">
        <f>(C45/C46)-1</f>
        <v>-6.6207832493214269E-2</v>
      </c>
      <c r="D47" s="84">
        <f>(D45/D46)-1</f>
        <v>4.6421485606784163E-2</v>
      </c>
      <c r="E47" s="84">
        <f t="shared" ref="E47:O47" si="1">(E45/E46)-1</f>
        <v>9.4080741904247756E-3</v>
      </c>
      <c r="F47" s="84">
        <f t="shared" si="1"/>
        <v>-7.8860268172194825E-2</v>
      </c>
      <c r="G47" s="84">
        <f t="shared" si="1"/>
        <v>-2.8024203751122245E-2</v>
      </c>
      <c r="H47" s="84">
        <f t="shared" si="1"/>
        <v>-6.8514164260701338E-2</v>
      </c>
      <c r="I47" s="84">
        <f t="shared" si="1"/>
        <v>-2.1419302914884808E-2</v>
      </c>
      <c r="J47" s="84">
        <f t="shared" si="1"/>
        <v>9.9336291372487118E-3</v>
      </c>
      <c r="K47" s="84">
        <f t="shared" si="1"/>
        <v>-5.3056032310595302E-2</v>
      </c>
      <c r="L47" s="84">
        <f t="shared" si="1"/>
        <v>-4.2399247380174976E-2</v>
      </c>
      <c r="M47" s="84">
        <f t="shared" si="1"/>
        <v>-8.1642934466495953E-3</v>
      </c>
      <c r="N47" s="84">
        <f t="shared" si="1"/>
        <v>-0.10227896469568298</v>
      </c>
      <c r="O47" s="84">
        <f t="shared" si="1"/>
        <v>-3.6514648546266404E-2</v>
      </c>
    </row>
    <row r="48" spans="1:15" x14ac:dyDescent="0.2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50" spans="5:8" x14ac:dyDescent="0.25">
      <c r="E50" s="83"/>
      <c r="H50" s="85"/>
    </row>
  </sheetData>
  <sheetProtection password="C3D2" sheet="1" objects="1" scenarios="1"/>
  <pageMargins left="0.19685039370078741" right="0.23622047244094491" top="0.39370078740157483" bottom="0.45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50"/>
  <sheetViews>
    <sheetView showZeros="0" zoomScale="90" zoomScaleNormal="90" workbookViewId="0">
      <pane xSplit="2" topLeftCell="C1" activePane="topRight" state="frozen"/>
      <selection activeCell="B45" sqref="B45"/>
      <selection pane="topRight" activeCell="J16" sqref="J16"/>
    </sheetView>
  </sheetViews>
  <sheetFormatPr baseColWidth="10" defaultColWidth="11.42578125" defaultRowHeight="15" x14ac:dyDescent="0.25"/>
  <cols>
    <col min="1" max="1" width="5.7109375" style="3" customWidth="1"/>
    <col min="2" max="2" width="26.140625" style="3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20" ht="15.75" x14ac:dyDescent="0.25">
      <c r="B2" s="1" t="s">
        <v>72</v>
      </c>
    </row>
    <row r="3" spans="1:20" ht="15.75" thickBot="1" x14ac:dyDescent="0.3">
      <c r="C3" s="4" t="s">
        <v>66</v>
      </c>
    </row>
    <row r="4" spans="1:20" ht="15.75" thickBot="1" x14ac:dyDescent="0.3">
      <c r="A4" s="8" t="s">
        <v>59</v>
      </c>
      <c r="B4" s="22" t="s">
        <v>57</v>
      </c>
      <c r="C4" s="42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8" t="s">
        <v>37</v>
      </c>
      <c r="O4" s="8" t="s">
        <v>38</v>
      </c>
    </row>
    <row r="5" spans="1:20" x14ac:dyDescent="0.25">
      <c r="A5" s="40">
        <v>1</v>
      </c>
      <c r="B5" s="45" t="s">
        <v>39</v>
      </c>
      <c r="C5" s="43"/>
      <c r="D5" s="34">
        <v>0</v>
      </c>
      <c r="E5" s="34"/>
      <c r="F5" s="34"/>
      <c r="G5" s="34">
        <v>0</v>
      </c>
      <c r="H5" s="293">
        <v>0</v>
      </c>
      <c r="I5" s="34"/>
      <c r="J5" s="34">
        <v>0</v>
      </c>
      <c r="K5" s="34">
        <v>0</v>
      </c>
      <c r="L5" s="34">
        <v>0</v>
      </c>
      <c r="M5" s="34"/>
      <c r="N5" s="35"/>
      <c r="O5" s="229">
        <f>SUM(Tabla25[[#This Row],[Gener]:[Desembre]])</f>
        <v>0</v>
      </c>
    </row>
    <row r="6" spans="1:20" x14ac:dyDescent="0.25">
      <c r="A6" s="13">
        <v>2</v>
      </c>
      <c r="B6" s="46" t="s">
        <v>0</v>
      </c>
      <c r="C6" s="212">
        <v>1840</v>
      </c>
      <c r="D6" s="11">
        <v>1880</v>
      </c>
      <c r="E6" s="11">
        <v>1700</v>
      </c>
      <c r="F6" s="11">
        <v>1620</v>
      </c>
      <c r="G6" s="11">
        <v>1920</v>
      </c>
      <c r="H6" s="292">
        <v>1860</v>
      </c>
      <c r="I6" s="11">
        <v>2740</v>
      </c>
      <c r="J6" s="11">
        <v>1260</v>
      </c>
      <c r="K6" s="11">
        <v>1460</v>
      </c>
      <c r="L6" s="11">
        <v>1800</v>
      </c>
      <c r="M6" s="11">
        <v>2920</v>
      </c>
      <c r="N6" s="12">
        <v>1400</v>
      </c>
      <c r="O6" s="230">
        <f>SUM(Tabla25[[#This Row],[Gener]:[Desembre]])</f>
        <v>22400</v>
      </c>
    </row>
    <row r="7" spans="1:20" x14ac:dyDescent="0.25">
      <c r="A7" s="13">
        <v>3</v>
      </c>
      <c r="B7" s="46" t="s">
        <v>1</v>
      </c>
      <c r="C7" s="212"/>
      <c r="D7" s="11">
        <v>0</v>
      </c>
      <c r="E7" s="11"/>
      <c r="F7" s="11"/>
      <c r="G7" s="11">
        <v>0</v>
      </c>
      <c r="H7" s="292">
        <v>0</v>
      </c>
      <c r="I7" s="11"/>
      <c r="J7" s="11">
        <v>0</v>
      </c>
      <c r="K7" s="11">
        <v>0</v>
      </c>
      <c r="L7" s="11">
        <v>0</v>
      </c>
      <c r="M7" s="11"/>
      <c r="N7" s="12"/>
      <c r="O7" s="230">
        <f>SUM(Tabla25[[#This Row],[Gener]:[Desembre]])</f>
        <v>0</v>
      </c>
    </row>
    <row r="8" spans="1:20" x14ac:dyDescent="0.25">
      <c r="A8" s="13">
        <v>4</v>
      </c>
      <c r="B8" s="46" t="s">
        <v>2</v>
      </c>
      <c r="C8" s="212"/>
      <c r="D8" s="11">
        <v>0</v>
      </c>
      <c r="E8" s="11"/>
      <c r="F8" s="11"/>
      <c r="G8" s="11">
        <v>0</v>
      </c>
      <c r="H8" s="292">
        <v>0</v>
      </c>
      <c r="I8" s="11"/>
      <c r="J8" s="11">
        <v>0</v>
      </c>
      <c r="K8" s="11">
        <v>0</v>
      </c>
      <c r="L8" s="11">
        <v>0</v>
      </c>
      <c r="M8" s="11"/>
      <c r="N8" s="12"/>
      <c r="O8" s="230">
        <f>SUM(Tabla25[[#This Row],[Gener]:[Desembre]])</f>
        <v>0</v>
      </c>
      <c r="Q8"/>
      <c r="R8" s="279"/>
      <c r="S8" s="280"/>
    </row>
    <row r="9" spans="1:20" x14ac:dyDescent="0.25">
      <c r="A9" s="13">
        <v>5</v>
      </c>
      <c r="B9" s="46" t="s">
        <v>3</v>
      </c>
      <c r="C9" s="212"/>
      <c r="D9" s="11">
        <v>0</v>
      </c>
      <c r="E9" s="11"/>
      <c r="F9" s="11"/>
      <c r="G9" s="11">
        <v>0</v>
      </c>
      <c r="H9" s="292">
        <v>0</v>
      </c>
      <c r="I9" s="11"/>
      <c r="J9" s="11">
        <v>0</v>
      </c>
      <c r="K9" s="11">
        <v>0</v>
      </c>
      <c r="L9" s="11">
        <v>0</v>
      </c>
      <c r="M9" s="11"/>
      <c r="N9" s="12"/>
      <c r="O9" s="230">
        <f>SUM(Tabla25[[#This Row],[Gener]:[Desembre]])</f>
        <v>0</v>
      </c>
      <c r="Q9"/>
      <c r="R9" s="279"/>
      <c r="S9" s="280"/>
    </row>
    <row r="10" spans="1:20" x14ac:dyDescent="0.25">
      <c r="A10" s="13">
        <v>6</v>
      </c>
      <c r="B10" s="46" t="s">
        <v>4</v>
      </c>
      <c r="C10" s="212">
        <v>4600</v>
      </c>
      <c r="D10" s="11">
        <v>5882.51</v>
      </c>
      <c r="E10" s="11">
        <v>4960</v>
      </c>
      <c r="F10" s="11">
        <v>6570.32</v>
      </c>
      <c r="G10" s="11">
        <v>4886.42</v>
      </c>
      <c r="H10" s="292">
        <v>4640</v>
      </c>
      <c r="I10" s="11">
        <v>6669.9</v>
      </c>
      <c r="J10" s="11">
        <v>3200</v>
      </c>
      <c r="K10" s="11">
        <v>7940</v>
      </c>
      <c r="L10" s="11">
        <v>5960</v>
      </c>
      <c r="M10" s="11">
        <v>5986.15</v>
      </c>
      <c r="N10" s="12">
        <v>6795</v>
      </c>
      <c r="O10" s="230">
        <f>SUM(Tabla25[[#This Row],[Gener]:[Desembre]])</f>
        <v>68090.3</v>
      </c>
      <c r="Q10"/>
      <c r="R10" s="279"/>
      <c r="S10" s="280"/>
    </row>
    <row r="11" spans="1:20" x14ac:dyDescent="0.25">
      <c r="A11" s="13">
        <v>8</v>
      </c>
      <c r="B11" s="47" t="s">
        <v>7</v>
      </c>
      <c r="C11" s="212"/>
      <c r="D11" s="11">
        <v>0</v>
      </c>
      <c r="E11" s="11"/>
      <c r="F11" s="11"/>
      <c r="G11" s="11">
        <v>0</v>
      </c>
      <c r="H11" s="292">
        <v>0</v>
      </c>
      <c r="I11" s="11"/>
      <c r="J11" s="11">
        <v>0</v>
      </c>
      <c r="K11" s="11">
        <v>0</v>
      </c>
      <c r="L11" s="11">
        <v>0</v>
      </c>
      <c r="M11" s="11"/>
      <c r="N11" s="12"/>
      <c r="O11" s="231">
        <f>SUM(Tabla25[[#This Row],[Gener]:[Desembre]])</f>
        <v>0</v>
      </c>
      <c r="Q11"/>
      <c r="R11" s="279"/>
      <c r="S11" s="280"/>
    </row>
    <row r="12" spans="1:20" x14ac:dyDescent="0.25">
      <c r="A12" s="13">
        <v>9</v>
      </c>
      <c r="B12" s="46" t="s">
        <v>40</v>
      </c>
      <c r="C12" s="212"/>
      <c r="D12" s="11">
        <v>0</v>
      </c>
      <c r="E12" s="11"/>
      <c r="F12" s="11"/>
      <c r="G12" s="11">
        <v>0</v>
      </c>
      <c r="H12" s="292">
        <v>0</v>
      </c>
      <c r="I12" s="11"/>
      <c r="J12" s="11">
        <v>0</v>
      </c>
      <c r="K12" s="11">
        <v>0</v>
      </c>
      <c r="L12" s="11">
        <v>0</v>
      </c>
      <c r="M12" s="11"/>
      <c r="N12" s="12"/>
      <c r="O12" s="230">
        <f>SUM(Tabla25[[#This Row],[Gener]:[Desembre]])</f>
        <v>0</v>
      </c>
      <c r="Q12"/>
      <c r="R12" s="279"/>
      <c r="S12" s="280"/>
    </row>
    <row r="13" spans="1:20" x14ac:dyDescent="0.25">
      <c r="A13" s="13">
        <v>10</v>
      </c>
      <c r="B13" s="45" t="s">
        <v>41</v>
      </c>
      <c r="C13" s="212">
        <v>7400</v>
      </c>
      <c r="D13" s="11">
        <v>6940</v>
      </c>
      <c r="E13" s="11">
        <v>8660</v>
      </c>
      <c r="F13" s="11">
        <v>7280</v>
      </c>
      <c r="G13" s="11">
        <v>8620</v>
      </c>
      <c r="H13" s="292">
        <v>8920</v>
      </c>
      <c r="I13" s="11">
        <v>8260</v>
      </c>
      <c r="J13" s="11">
        <v>5980</v>
      </c>
      <c r="K13" s="11">
        <v>9140</v>
      </c>
      <c r="L13" s="11">
        <v>9220</v>
      </c>
      <c r="M13" s="11">
        <v>7840</v>
      </c>
      <c r="N13" s="12">
        <v>8460</v>
      </c>
      <c r="O13" s="229">
        <f>SUM(Tabla25[[#This Row],[Gener]:[Desembre]])</f>
        <v>96720</v>
      </c>
      <c r="Q13"/>
      <c r="R13" s="279"/>
      <c r="S13" s="280"/>
      <c r="T13" s="299"/>
    </row>
    <row r="14" spans="1:20" x14ac:dyDescent="0.25">
      <c r="A14" s="13">
        <v>11</v>
      </c>
      <c r="B14" s="46" t="s">
        <v>9</v>
      </c>
      <c r="C14" s="212">
        <f>460+2180+820+33940</f>
        <v>37400</v>
      </c>
      <c r="D14" s="11">
        <v>31007.489999999998</v>
      </c>
      <c r="E14" s="11">
        <v>33420</v>
      </c>
      <c r="F14" s="11">
        <f>3340+909.68+26240</f>
        <v>30489.68</v>
      </c>
      <c r="G14" s="11">
        <v>29953.58</v>
      </c>
      <c r="H14" s="11">
        <v>29640</v>
      </c>
      <c r="I14" s="11">
        <v>37050.1</v>
      </c>
      <c r="J14" s="11">
        <v>26980</v>
      </c>
      <c r="K14" s="11">
        <v>34847.370000000003</v>
      </c>
      <c r="L14" s="11">
        <v>35780</v>
      </c>
      <c r="M14" s="11">
        <v>32853.85</v>
      </c>
      <c r="N14" s="12">
        <v>48785</v>
      </c>
      <c r="O14" s="230">
        <f>SUM(Tabla25[[#This Row],[Gener]:[Desembre]])</f>
        <v>408207.07</v>
      </c>
      <c r="Q14"/>
      <c r="R14" s="279"/>
      <c r="S14" s="280"/>
    </row>
    <row r="15" spans="1:20" x14ac:dyDescent="0.25">
      <c r="A15" s="13">
        <v>12</v>
      </c>
      <c r="B15" s="46" t="s">
        <v>10</v>
      </c>
      <c r="C15" s="212"/>
      <c r="D15" s="11">
        <v>0</v>
      </c>
      <c r="E15" s="11"/>
      <c r="F15" s="11"/>
      <c r="G15" s="11">
        <v>0</v>
      </c>
      <c r="H15" s="292">
        <v>0</v>
      </c>
      <c r="I15" s="11"/>
      <c r="J15" s="11">
        <v>0</v>
      </c>
      <c r="K15" s="11">
        <v>0</v>
      </c>
      <c r="L15" s="11">
        <v>0</v>
      </c>
      <c r="M15" s="11"/>
      <c r="N15" s="12"/>
      <c r="O15" s="230">
        <f>SUM(Tabla25[[#This Row],[Gener]:[Desembre]])</f>
        <v>0</v>
      </c>
      <c r="Q15"/>
      <c r="R15" s="279"/>
      <c r="S15" s="280"/>
    </row>
    <row r="16" spans="1:20" x14ac:dyDescent="0.25">
      <c r="A16" s="13">
        <v>13</v>
      </c>
      <c r="B16" s="46" t="s">
        <v>42</v>
      </c>
      <c r="C16" s="212"/>
      <c r="D16" s="11">
        <v>0</v>
      </c>
      <c r="E16" s="11"/>
      <c r="F16" s="11"/>
      <c r="G16" s="11">
        <v>0</v>
      </c>
      <c r="H16" s="292">
        <v>0</v>
      </c>
      <c r="I16" s="11"/>
      <c r="J16" s="11">
        <v>0</v>
      </c>
      <c r="K16" s="11">
        <v>0</v>
      </c>
      <c r="L16" s="11">
        <v>0</v>
      </c>
      <c r="M16" s="11"/>
      <c r="N16" s="12"/>
      <c r="O16" s="230">
        <f>SUM(Tabla25[[#This Row],[Gener]:[Desembre]])</f>
        <v>0</v>
      </c>
      <c r="Q16"/>
      <c r="R16" s="279"/>
      <c r="S16" s="280"/>
    </row>
    <row r="17" spans="1:19" x14ac:dyDescent="0.25">
      <c r="A17" s="13">
        <v>14</v>
      </c>
      <c r="B17" s="46" t="s">
        <v>11</v>
      </c>
      <c r="C17" s="212"/>
      <c r="D17" s="11">
        <v>0</v>
      </c>
      <c r="E17" s="11"/>
      <c r="F17" s="11"/>
      <c r="G17" s="11">
        <v>0</v>
      </c>
      <c r="H17" s="292">
        <v>0</v>
      </c>
      <c r="I17" s="11"/>
      <c r="J17" s="11">
        <v>0</v>
      </c>
      <c r="K17" s="11">
        <v>0</v>
      </c>
      <c r="L17" s="11">
        <v>0</v>
      </c>
      <c r="M17" s="11"/>
      <c r="N17" s="12"/>
      <c r="O17" s="230">
        <f>SUM(Tabla25[[#This Row],[Gener]:[Desembre]])</f>
        <v>0</v>
      </c>
      <c r="Q17"/>
      <c r="R17" s="279"/>
      <c r="S17" s="280"/>
    </row>
    <row r="18" spans="1:19" x14ac:dyDescent="0.25">
      <c r="A18" s="13">
        <v>15</v>
      </c>
      <c r="B18" s="46" t="s">
        <v>12</v>
      </c>
      <c r="C18" s="212"/>
      <c r="D18" s="11">
        <v>0</v>
      </c>
      <c r="E18" s="11"/>
      <c r="F18" s="11"/>
      <c r="G18" s="11">
        <v>0</v>
      </c>
      <c r="H18" s="292">
        <v>0</v>
      </c>
      <c r="I18" s="11"/>
      <c r="J18" s="11">
        <v>0</v>
      </c>
      <c r="K18" s="11">
        <v>0</v>
      </c>
      <c r="L18" s="11">
        <v>0</v>
      </c>
      <c r="M18" s="11"/>
      <c r="N18" s="12"/>
      <c r="O18" s="230">
        <f>SUM(Tabla25[[#This Row],[Gener]:[Desembre]])</f>
        <v>0</v>
      </c>
    </row>
    <row r="19" spans="1:19" x14ac:dyDescent="0.25">
      <c r="A19" s="13">
        <v>16</v>
      </c>
      <c r="B19" s="46" t="s">
        <v>13</v>
      </c>
      <c r="C19" s="212"/>
      <c r="D19" s="11">
        <v>0</v>
      </c>
      <c r="E19" s="11"/>
      <c r="F19" s="11"/>
      <c r="G19" s="11">
        <v>0</v>
      </c>
      <c r="H19" s="292">
        <v>0</v>
      </c>
      <c r="I19" s="11"/>
      <c r="J19" s="11">
        <v>0</v>
      </c>
      <c r="K19" s="11">
        <v>0</v>
      </c>
      <c r="L19" s="11">
        <v>0</v>
      </c>
      <c r="M19" s="11"/>
      <c r="N19" s="12"/>
      <c r="O19" s="230">
        <f>SUM(Tabla25[[#This Row],[Gener]:[Desembre]])</f>
        <v>0</v>
      </c>
    </row>
    <row r="20" spans="1:19" x14ac:dyDescent="0.25">
      <c r="A20" s="13">
        <v>17</v>
      </c>
      <c r="B20" s="46" t="s">
        <v>14</v>
      </c>
      <c r="C20" s="212"/>
      <c r="D20" s="11">
        <v>0</v>
      </c>
      <c r="E20" s="11"/>
      <c r="F20" s="11"/>
      <c r="G20" s="11">
        <v>0</v>
      </c>
      <c r="H20" s="292">
        <v>0</v>
      </c>
      <c r="I20" s="11"/>
      <c r="J20" s="11">
        <v>0</v>
      </c>
      <c r="K20" s="11">
        <v>0</v>
      </c>
      <c r="L20" s="11">
        <v>0</v>
      </c>
      <c r="M20" s="11"/>
      <c r="N20" s="12"/>
      <c r="O20" s="230">
        <f>SUM(Tabla25[[#This Row],[Gener]:[Desembre]])</f>
        <v>0</v>
      </c>
    </row>
    <row r="21" spans="1:19" x14ac:dyDescent="0.25">
      <c r="A21" s="13">
        <v>18</v>
      </c>
      <c r="B21" s="46" t="s">
        <v>15</v>
      </c>
      <c r="C21" s="212">
        <f>3180+18620</f>
        <v>21800</v>
      </c>
      <c r="D21" s="11">
        <v>25880</v>
      </c>
      <c r="E21" s="11">
        <v>28960</v>
      </c>
      <c r="F21" s="11">
        <f>2880+22340</f>
        <v>25220</v>
      </c>
      <c r="G21" s="11">
        <v>25940</v>
      </c>
      <c r="H21" s="292">
        <v>31380</v>
      </c>
      <c r="I21" s="11">
        <v>27900</v>
      </c>
      <c r="J21" s="11">
        <v>17440</v>
      </c>
      <c r="K21" s="11">
        <v>27000</v>
      </c>
      <c r="L21" s="11">
        <v>25200</v>
      </c>
      <c r="M21" s="11">
        <v>25220</v>
      </c>
      <c r="N21" s="12">
        <v>27340</v>
      </c>
      <c r="O21" s="230">
        <f>SUM(Tabla25[[#This Row],[Gener]:[Desembre]])</f>
        <v>309280</v>
      </c>
    </row>
    <row r="22" spans="1:19" x14ac:dyDescent="0.25">
      <c r="A22" s="13">
        <v>19</v>
      </c>
      <c r="B22" s="46" t="s">
        <v>16</v>
      </c>
      <c r="C22" s="212">
        <v>6720</v>
      </c>
      <c r="D22" s="11">
        <v>5180</v>
      </c>
      <c r="E22" s="11">
        <v>5520</v>
      </c>
      <c r="F22" s="11">
        <v>4880</v>
      </c>
      <c r="G22" s="11">
        <v>5540</v>
      </c>
      <c r="H22" s="292">
        <v>6680</v>
      </c>
      <c r="I22" s="11">
        <v>5200</v>
      </c>
      <c r="J22" s="11">
        <v>2880</v>
      </c>
      <c r="K22" s="11">
        <v>4900</v>
      </c>
      <c r="L22" s="11">
        <v>6020</v>
      </c>
      <c r="M22" s="11">
        <v>4220</v>
      </c>
      <c r="N22" s="12">
        <v>4180</v>
      </c>
      <c r="O22" s="230">
        <f>SUM(Tabla25[[#This Row],[Gener]:[Desembre]])</f>
        <v>61920</v>
      </c>
    </row>
    <row r="23" spans="1:19" x14ac:dyDescent="0.25">
      <c r="A23" s="13">
        <v>20</v>
      </c>
      <c r="B23" s="46" t="s">
        <v>17</v>
      </c>
      <c r="C23" s="212"/>
      <c r="D23" s="11">
        <v>0</v>
      </c>
      <c r="E23" s="11"/>
      <c r="F23" s="11"/>
      <c r="G23" s="11">
        <v>0</v>
      </c>
      <c r="H23" s="292">
        <v>0</v>
      </c>
      <c r="I23" s="11"/>
      <c r="J23" s="11">
        <v>0</v>
      </c>
      <c r="K23" s="11">
        <v>0</v>
      </c>
      <c r="L23" s="11">
        <v>0</v>
      </c>
      <c r="M23" s="11"/>
      <c r="N23" s="12"/>
      <c r="O23" s="230">
        <f>SUM(Tabla25[[#This Row],[Gener]:[Desembre]])</f>
        <v>0</v>
      </c>
    </row>
    <row r="24" spans="1:19" x14ac:dyDescent="0.25">
      <c r="A24" s="13">
        <v>21</v>
      </c>
      <c r="B24" s="46" t="s">
        <v>18</v>
      </c>
      <c r="C24" s="212"/>
      <c r="D24" s="11">
        <v>0</v>
      </c>
      <c r="E24" s="11"/>
      <c r="F24" s="11"/>
      <c r="G24" s="11">
        <v>0</v>
      </c>
      <c r="H24" s="292">
        <v>0</v>
      </c>
      <c r="I24" s="11"/>
      <c r="J24" s="11">
        <v>0</v>
      </c>
      <c r="K24" s="11">
        <v>0</v>
      </c>
      <c r="L24" s="11">
        <v>0</v>
      </c>
      <c r="M24" s="11"/>
      <c r="N24" s="12"/>
      <c r="O24" s="230">
        <f>SUM(Tabla25[[#This Row],[Gener]:[Desembre]])</f>
        <v>0</v>
      </c>
    </row>
    <row r="25" spans="1:19" x14ac:dyDescent="0.25">
      <c r="A25" s="13">
        <v>22</v>
      </c>
      <c r="B25" s="46" t="s">
        <v>19</v>
      </c>
      <c r="C25" s="212">
        <v>5060</v>
      </c>
      <c r="D25" s="11">
        <v>4940</v>
      </c>
      <c r="E25" s="11">
        <v>6460</v>
      </c>
      <c r="F25" s="11">
        <v>5900</v>
      </c>
      <c r="G25" s="11">
        <v>5240</v>
      </c>
      <c r="H25" s="292">
        <v>5220</v>
      </c>
      <c r="I25" s="11">
        <v>4320</v>
      </c>
      <c r="J25" s="11">
        <v>2680</v>
      </c>
      <c r="K25" s="11">
        <v>4160</v>
      </c>
      <c r="L25" s="11">
        <v>5480</v>
      </c>
      <c r="M25" s="11">
        <v>5640</v>
      </c>
      <c r="N25" s="12">
        <v>5400</v>
      </c>
      <c r="O25" s="230">
        <f>SUM(Tabla25[[#This Row],[Gener]:[Desembre]])</f>
        <v>60500</v>
      </c>
    </row>
    <row r="26" spans="1:19" x14ac:dyDescent="0.25">
      <c r="A26" s="13">
        <v>23</v>
      </c>
      <c r="B26" s="46" t="s">
        <v>43</v>
      </c>
      <c r="C26" s="212"/>
      <c r="D26" s="11">
        <v>0</v>
      </c>
      <c r="E26" s="11"/>
      <c r="F26" s="11"/>
      <c r="G26" s="11">
        <v>0</v>
      </c>
      <c r="H26" s="292">
        <v>0</v>
      </c>
      <c r="I26" s="11"/>
      <c r="J26" s="11">
        <v>0</v>
      </c>
      <c r="K26" s="11">
        <v>0</v>
      </c>
      <c r="L26" s="11">
        <v>0</v>
      </c>
      <c r="M26" s="11"/>
      <c r="N26" s="12"/>
      <c r="O26" s="230">
        <f>SUM(Tabla25[[#This Row],[Gener]:[Desembre]])</f>
        <v>0</v>
      </c>
    </row>
    <row r="27" spans="1:19" x14ac:dyDescent="0.25">
      <c r="A27" s="13">
        <v>24</v>
      </c>
      <c r="B27" s="46" t="s">
        <v>44</v>
      </c>
      <c r="C27" s="213">
        <v>13800</v>
      </c>
      <c r="D27" s="214">
        <v>12340</v>
      </c>
      <c r="E27" s="214">
        <v>14380</v>
      </c>
      <c r="F27" s="214">
        <v>13740</v>
      </c>
      <c r="G27" s="214">
        <v>17600</v>
      </c>
      <c r="H27" s="294">
        <v>12480</v>
      </c>
      <c r="I27" s="215">
        <v>14240</v>
      </c>
      <c r="J27" s="216">
        <v>15740</v>
      </c>
      <c r="K27" s="11">
        <f>13740+2520</f>
        <v>16260</v>
      </c>
      <c r="L27" s="11">
        <v>13720</v>
      </c>
      <c r="M27" s="11">
        <v>11940</v>
      </c>
      <c r="N27" s="12">
        <v>15280</v>
      </c>
      <c r="O27" s="230">
        <f>SUM(Tabla25[[#This Row],[Gener]:[Desembre]])</f>
        <v>171520</v>
      </c>
    </row>
    <row r="28" spans="1:19" x14ac:dyDescent="0.25">
      <c r="A28" s="13">
        <v>25</v>
      </c>
      <c r="B28" s="46" t="s">
        <v>20</v>
      </c>
      <c r="C28" s="212"/>
      <c r="D28" s="11">
        <v>0</v>
      </c>
      <c r="E28" s="11"/>
      <c r="F28" s="11"/>
      <c r="G28" s="11">
        <v>0</v>
      </c>
      <c r="H28" s="292">
        <v>0</v>
      </c>
      <c r="I28" s="11"/>
      <c r="J28" s="11">
        <v>0</v>
      </c>
      <c r="K28" s="11"/>
      <c r="L28" s="11">
        <v>0</v>
      </c>
      <c r="M28" s="11"/>
      <c r="N28" s="12"/>
      <c r="O28" s="230">
        <f>SUM(Tabla25[[#This Row],[Gener]:[Desembre]])</f>
        <v>0</v>
      </c>
    </row>
    <row r="29" spans="1:19" x14ac:dyDescent="0.25">
      <c r="A29" s="13">
        <v>26</v>
      </c>
      <c r="B29" s="46" t="s">
        <v>45</v>
      </c>
      <c r="C29" s="212">
        <v>5840</v>
      </c>
      <c r="D29" s="11">
        <v>5380</v>
      </c>
      <c r="E29" s="11">
        <v>6820</v>
      </c>
      <c r="F29" s="11">
        <v>5520</v>
      </c>
      <c r="G29" s="11">
        <v>5840</v>
      </c>
      <c r="H29" s="292">
        <v>7800</v>
      </c>
      <c r="I29" s="11">
        <v>6220</v>
      </c>
      <c r="J29" s="11">
        <v>5580</v>
      </c>
      <c r="K29" s="11">
        <v>7460</v>
      </c>
      <c r="L29" s="11">
        <v>5380</v>
      </c>
      <c r="M29" s="11">
        <v>5480</v>
      </c>
      <c r="N29" s="12">
        <v>7380</v>
      </c>
      <c r="O29" s="230">
        <f>SUM(Tabla25[[#This Row],[Gener]:[Desembre]])</f>
        <v>74700</v>
      </c>
    </row>
    <row r="30" spans="1:19" x14ac:dyDescent="0.25">
      <c r="A30" s="13">
        <v>27</v>
      </c>
      <c r="B30" s="46" t="s">
        <v>46</v>
      </c>
      <c r="C30" s="213"/>
      <c r="D30" s="214">
        <v>0</v>
      </c>
      <c r="E30" s="214"/>
      <c r="F30" s="214"/>
      <c r="G30" s="11">
        <v>0</v>
      </c>
      <c r="H30" s="292">
        <v>0</v>
      </c>
      <c r="I30" s="11"/>
      <c r="J30" s="11">
        <v>0</v>
      </c>
      <c r="K30" s="11">
        <v>0</v>
      </c>
      <c r="L30" s="11">
        <v>0</v>
      </c>
      <c r="M30" s="11"/>
      <c r="N30" s="12"/>
      <c r="O30" s="230">
        <f>SUM(Tabla25[[#This Row],[Gener]:[Desembre]])</f>
        <v>0</v>
      </c>
    </row>
    <row r="31" spans="1:19" x14ac:dyDescent="0.25">
      <c r="A31" s="13">
        <v>28</v>
      </c>
      <c r="B31" s="46" t="s">
        <v>47</v>
      </c>
      <c r="C31" s="212"/>
      <c r="D31" s="11">
        <v>0</v>
      </c>
      <c r="E31" s="11"/>
      <c r="F31" s="11"/>
      <c r="G31" s="11">
        <v>0</v>
      </c>
      <c r="H31" s="292">
        <v>0</v>
      </c>
      <c r="I31" s="11"/>
      <c r="J31" s="11">
        <v>0</v>
      </c>
      <c r="K31" s="11">
        <v>0</v>
      </c>
      <c r="L31" s="11">
        <v>0</v>
      </c>
      <c r="M31" s="11"/>
      <c r="N31" s="12"/>
      <c r="O31" s="230">
        <f>SUM(Tabla25[[#This Row],[Gener]:[Desembre]])</f>
        <v>0</v>
      </c>
    </row>
    <row r="32" spans="1:19" x14ac:dyDescent="0.25">
      <c r="A32" s="13">
        <v>29</v>
      </c>
      <c r="B32" s="46" t="s">
        <v>48</v>
      </c>
      <c r="C32" s="212"/>
      <c r="D32" s="11">
        <v>0</v>
      </c>
      <c r="E32" s="11"/>
      <c r="F32" s="11"/>
      <c r="G32" s="11">
        <v>0</v>
      </c>
      <c r="H32" s="292">
        <v>0</v>
      </c>
      <c r="I32" s="11"/>
      <c r="J32" s="11">
        <v>0</v>
      </c>
      <c r="K32" s="11">
        <v>0</v>
      </c>
      <c r="L32" s="11">
        <v>0</v>
      </c>
      <c r="M32" s="11"/>
      <c r="N32" s="12"/>
      <c r="O32" s="230">
        <f>SUM(Tabla25[[#This Row],[Gener]:[Desembre]])</f>
        <v>0</v>
      </c>
    </row>
    <row r="33" spans="1:15" x14ac:dyDescent="0.25">
      <c r="A33" s="13">
        <v>30</v>
      </c>
      <c r="B33" s="46" t="s">
        <v>50</v>
      </c>
      <c r="C33" s="212">
        <v>15060</v>
      </c>
      <c r="D33" s="11">
        <v>13380</v>
      </c>
      <c r="E33" s="11">
        <v>15360</v>
      </c>
      <c r="F33" s="11">
        <v>13240</v>
      </c>
      <c r="G33" s="11">
        <v>13660</v>
      </c>
      <c r="H33" s="292">
        <v>20620</v>
      </c>
      <c r="I33" s="11">
        <v>14320</v>
      </c>
      <c r="J33" s="11">
        <v>11540</v>
      </c>
      <c r="K33" s="11">
        <v>16640</v>
      </c>
      <c r="L33" s="11">
        <v>13400</v>
      </c>
      <c r="M33" s="11">
        <v>11980</v>
      </c>
      <c r="N33" s="12">
        <v>16660</v>
      </c>
      <c r="O33" s="230">
        <f>SUM(Tabla25[[#This Row],[Gener]:[Desembre]])</f>
        <v>175860</v>
      </c>
    </row>
    <row r="34" spans="1:15" x14ac:dyDescent="0.25">
      <c r="A34" s="13">
        <v>31</v>
      </c>
      <c r="B34" s="46" t="s">
        <v>51</v>
      </c>
      <c r="C34" s="212"/>
      <c r="D34" s="11">
        <v>0</v>
      </c>
      <c r="E34" s="11"/>
      <c r="F34" s="11"/>
      <c r="G34" s="11">
        <v>0</v>
      </c>
      <c r="H34" s="292">
        <v>0</v>
      </c>
      <c r="I34" s="11"/>
      <c r="J34" s="11">
        <v>0</v>
      </c>
      <c r="K34" s="11">
        <v>0</v>
      </c>
      <c r="L34" s="11">
        <v>0</v>
      </c>
      <c r="M34" s="11"/>
      <c r="N34" s="12"/>
      <c r="O34" s="230">
        <f>SUM(Tabla25[[#This Row],[Gener]:[Desembre]])</f>
        <v>0</v>
      </c>
    </row>
    <row r="35" spans="1:15" x14ac:dyDescent="0.25">
      <c r="A35" s="13">
        <v>32</v>
      </c>
      <c r="B35" s="46" t="s">
        <v>52</v>
      </c>
      <c r="C35" s="212"/>
      <c r="D35" s="11">
        <v>0</v>
      </c>
      <c r="E35" s="11"/>
      <c r="F35" s="11"/>
      <c r="G35" s="11">
        <v>0</v>
      </c>
      <c r="H35" s="292">
        <v>0</v>
      </c>
      <c r="I35" s="11"/>
      <c r="J35" s="11">
        <v>0</v>
      </c>
      <c r="K35" s="11">
        <v>0</v>
      </c>
      <c r="L35" s="11">
        <v>0</v>
      </c>
      <c r="M35" s="11"/>
      <c r="N35" s="12"/>
      <c r="O35" s="230">
        <f>SUM(Tabla25[[#This Row],[Gener]:[Desembre]])</f>
        <v>0</v>
      </c>
    </row>
    <row r="36" spans="1:15" x14ac:dyDescent="0.25">
      <c r="A36" s="13">
        <v>33</v>
      </c>
      <c r="B36" s="46" t="s">
        <v>21</v>
      </c>
      <c r="C36" s="212"/>
      <c r="D36" s="11">
        <v>0</v>
      </c>
      <c r="E36" s="11"/>
      <c r="F36" s="11"/>
      <c r="G36" s="11">
        <v>0</v>
      </c>
      <c r="H36" s="292">
        <v>0</v>
      </c>
      <c r="I36" s="11"/>
      <c r="J36" s="11">
        <v>0</v>
      </c>
      <c r="K36" s="11">
        <v>0</v>
      </c>
      <c r="L36" s="11">
        <v>0</v>
      </c>
      <c r="M36" s="11"/>
      <c r="N36" s="12"/>
      <c r="O36" s="230">
        <f>SUM(Tabla25[[#This Row],[Gener]:[Desembre]])</f>
        <v>0</v>
      </c>
    </row>
    <row r="37" spans="1:15" x14ac:dyDescent="0.25">
      <c r="A37" s="13">
        <v>34</v>
      </c>
      <c r="B37" s="46" t="s">
        <v>22</v>
      </c>
      <c r="C37" s="212"/>
      <c r="D37" s="11">
        <v>0</v>
      </c>
      <c r="E37" s="11"/>
      <c r="F37" s="11"/>
      <c r="G37" s="11">
        <v>0</v>
      </c>
      <c r="H37" s="292">
        <v>0</v>
      </c>
      <c r="I37" s="11"/>
      <c r="J37" s="11">
        <v>0</v>
      </c>
      <c r="K37" s="11">
        <v>0</v>
      </c>
      <c r="L37" s="11">
        <v>0</v>
      </c>
      <c r="M37" s="11"/>
      <c r="N37" s="12"/>
      <c r="O37" s="230">
        <f>SUM(Tabla25[[#This Row],[Gener]:[Desembre]])</f>
        <v>0</v>
      </c>
    </row>
    <row r="38" spans="1:15" x14ac:dyDescent="0.25">
      <c r="A38" s="13">
        <v>35</v>
      </c>
      <c r="B38" s="46" t="s">
        <v>23</v>
      </c>
      <c r="C38" s="212"/>
      <c r="D38" s="11">
        <v>0</v>
      </c>
      <c r="E38" s="11"/>
      <c r="F38" s="11"/>
      <c r="G38" s="11">
        <v>0</v>
      </c>
      <c r="H38" s="292">
        <v>0</v>
      </c>
      <c r="I38" s="11"/>
      <c r="J38" s="11">
        <v>0</v>
      </c>
      <c r="K38" s="11">
        <v>0</v>
      </c>
      <c r="L38" s="11">
        <v>0</v>
      </c>
      <c r="M38" s="11"/>
      <c r="N38" s="12"/>
      <c r="O38" s="230">
        <f>SUM(Tabla25[[#This Row],[Gener]:[Desembre]])</f>
        <v>0</v>
      </c>
    </row>
    <row r="39" spans="1:15" x14ac:dyDescent="0.25">
      <c r="A39" s="13">
        <v>36</v>
      </c>
      <c r="B39" s="46" t="s">
        <v>24</v>
      </c>
      <c r="C39" s="212"/>
      <c r="D39" s="11">
        <v>0</v>
      </c>
      <c r="E39" s="11"/>
      <c r="F39" s="11"/>
      <c r="G39" s="11">
        <v>0</v>
      </c>
      <c r="H39" s="292">
        <v>0</v>
      </c>
      <c r="I39" s="11"/>
      <c r="J39" s="11">
        <v>0</v>
      </c>
      <c r="K39" s="11">
        <v>0</v>
      </c>
      <c r="L39" s="11">
        <v>0</v>
      </c>
      <c r="M39" s="11"/>
      <c r="N39" s="12"/>
      <c r="O39" s="230">
        <f>SUM(Tabla25[[#This Row],[Gener]:[Desembre]])</f>
        <v>0</v>
      </c>
    </row>
    <row r="40" spans="1:15" x14ac:dyDescent="0.25">
      <c r="A40" s="13">
        <v>37</v>
      </c>
      <c r="B40" s="46" t="s">
        <v>25</v>
      </c>
      <c r="C40" s="212"/>
      <c r="D40" s="11">
        <v>0</v>
      </c>
      <c r="E40" s="11"/>
      <c r="F40" s="11"/>
      <c r="G40" s="11">
        <v>0</v>
      </c>
      <c r="H40" s="292">
        <v>0</v>
      </c>
      <c r="I40" s="11"/>
      <c r="J40" s="11">
        <v>0</v>
      </c>
      <c r="K40" s="11">
        <v>0</v>
      </c>
      <c r="L40" s="11">
        <v>0</v>
      </c>
      <c r="M40" s="11"/>
      <c r="N40" s="12"/>
      <c r="O40" s="230">
        <f>SUM(Tabla25[[#This Row],[Gener]:[Desembre]])</f>
        <v>0</v>
      </c>
    </row>
    <row r="41" spans="1:15" x14ac:dyDescent="0.25">
      <c r="A41" s="13">
        <v>38</v>
      </c>
      <c r="B41" s="46" t="s">
        <v>5</v>
      </c>
      <c r="C41" s="212"/>
      <c r="D41" s="11">
        <v>0</v>
      </c>
      <c r="E41" s="11"/>
      <c r="F41" s="11"/>
      <c r="G41" s="11">
        <v>0</v>
      </c>
      <c r="H41" s="292">
        <v>0</v>
      </c>
      <c r="I41" s="11"/>
      <c r="J41" s="11">
        <v>0</v>
      </c>
      <c r="K41" s="11">
        <v>0</v>
      </c>
      <c r="L41" s="11">
        <v>0</v>
      </c>
      <c r="M41" s="11"/>
      <c r="N41" s="12"/>
      <c r="O41" s="230">
        <f>SUM(Tabla25[[#This Row],[Gener]:[Desembre]])</f>
        <v>0</v>
      </c>
    </row>
    <row r="42" spans="1:15" x14ac:dyDescent="0.25">
      <c r="A42" s="13">
        <v>39</v>
      </c>
      <c r="B42" s="46" t="s">
        <v>6</v>
      </c>
      <c r="C42" s="213">
        <v>6200</v>
      </c>
      <c r="D42" s="214">
        <v>5620</v>
      </c>
      <c r="E42" s="214">
        <v>6360</v>
      </c>
      <c r="F42" s="214">
        <v>5760</v>
      </c>
      <c r="G42" s="214">
        <v>5980</v>
      </c>
      <c r="H42" s="294">
        <v>7440</v>
      </c>
      <c r="I42" s="215">
        <v>6900</v>
      </c>
      <c r="J42" s="216">
        <v>6920</v>
      </c>
      <c r="K42" s="11">
        <v>7340</v>
      </c>
      <c r="L42" s="11">
        <v>6520</v>
      </c>
      <c r="M42" s="11">
        <v>5340</v>
      </c>
      <c r="N42" s="12">
        <v>7120</v>
      </c>
      <c r="O42" s="230">
        <f>SUM(Tabla25[[#This Row],[Gener]:[Desembre]])</f>
        <v>77500</v>
      </c>
    </row>
    <row r="43" spans="1:15" x14ac:dyDescent="0.25">
      <c r="A43" s="13">
        <v>40</v>
      </c>
      <c r="B43" s="46" t="s">
        <v>8</v>
      </c>
      <c r="C43" s="43"/>
      <c r="D43" s="34">
        <v>0</v>
      </c>
      <c r="E43" s="34"/>
      <c r="F43" s="34"/>
      <c r="G43" s="34">
        <v>0</v>
      </c>
      <c r="H43" s="293">
        <v>0</v>
      </c>
      <c r="I43" s="34"/>
      <c r="J43" s="34">
        <v>0</v>
      </c>
      <c r="K43" s="34">
        <v>0</v>
      </c>
      <c r="L43" s="34">
        <v>0</v>
      </c>
      <c r="M43" s="34"/>
      <c r="N43" s="35"/>
      <c r="O43" s="230">
        <f>SUM(Tabla25[[#This Row],[Gener]:[Desembre]])</f>
        <v>0</v>
      </c>
    </row>
    <row r="44" spans="1:15" ht="15.75" thickBot="1" x14ac:dyDescent="0.3">
      <c r="A44" s="91">
        <v>41</v>
      </c>
      <c r="B44" s="47" t="s">
        <v>49</v>
      </c>
      <c r="C44" s="43"/>
      <c r="D44" s="34">
        <v>0</v>
      </c>
      <c r="E44" s="34"/>
      <c r="F44" s="21"/>
      <c r="G44" s="21">
        <v>0</v>
      </c>
      <c r="H44" s="295">
        <v>0</v>
      </c>
      <c r="I44" s="21"/>
      <c r="J44" s="34">
        <v>0</v>
      </c>
      <c r="K44" s="34">
        <v>0</v>
      </c>
      <c r="L44" s="21">
        <v>0</v>
      </c>
      <c r="M44" s="21"/>
      <c r="N44" s="36"/>
      <c r="O44" s="231">
        <f>SUM(Tabla25[[#This Row],[Gener]:[Desembre]])</f>
        <v>0</v>
      </c>
    </row>
    <row r="45" spans="1:15" s="4" customFormat="1" ht="15.75" thickBot="1" x14ac:dyDescent="0.3">
      <c r="A45" s="92"/>
      <c r="B45" s="22" t="s">
        <v>71</v>
      </c>
      <c r="C45" s="42">
        <f t="shared" ref="C45:L45" si="0">SUBTOTAL(109,C5:C44)</f>
        <v>125720</v>
      </c>
      <c r="D45" s="6">
        <f t="shared" si="0"/>
        <v>118430</v>
      </c>
      <c r="E45" s="6">
        <f t="shared" si="0"/>
        <v>132600</v>
      </c>
      <c r="F45" s="6">
        <f t="shared" si="0"/>
        <v>120220</v>
      </c>
      <c r="G45" s="6">
        <f t="shared" si="0"/>
        <v>125180</v>
      </c>
      <c r="H45" s="6">
        <f t="shared" si="0"/>
        <v>136680</v>
      </c>
      <c r="I45" s="6">
        <f t="shared" si="0"/>
        <v>133820</v>
      </c>
      <c r="J45" s="6">
        <f t="shared" si="0"/>
        <v>100200</v>
      </c>
      <c r="K45" s="6">
        <f t="shared" si="0"/>
        <v>137147.37</v>
      </c>
      <c r="L45" s="6">
        <f t="shared" si="0"/>
        <v>128480</v>
      </c>
      <c r="M45" s="6">
        <f>SUM(M5:M44)</f>
        <v>119420</v>
      </c>
      <c r="N45" s="6">
        <f>SUM(N5:N44)</f>
        <v>148800</v>
      </c>
      <c r="O45" s="8">
        <f>SUBTOTAL(109,O5:O44)</f>
        <v>1526697.37</v>
      </c>
    </row>
    <row r="46" spans="1:15" ht="15.75" thickBot="1" x14ac:dyDescent="0.3">
      <c r="A46" s="11"/>
      <c r="B46" s="48" t="s">
        <v>69</v>
      </c>
      <c r="C46" s="44">
        <v>154976</v>
      </c>
      <c r="D46" s="37">
        <v>139800</v>
      </c>
      <c r="E46" s="37">
        <v>106340</v>
      </c>
      <c r="F46" s="37">
        <v>87840</v>
      </c>
      <c r="G46" s="37">
        <v>107610</v>
      </c>
      <c r="H46" s="37">
        <v>131351.43</v>
      </c>
      <c r="I46" s="37">
        <v>158280</v>
      </c>
      <c r="J46" s="37">
        <v>100841</v>
      </c>
      <c r="K46" s="37">
        <v>149520</v>
      </c>
      <c r="L46" s="37">
        <v>142480</v>
      </c>
      <c r="M46" s="37">
        <v>125420</v>
      </c>
      <c r="N46" s="39">
        <v>155280</v>
      </c>
      <c r="O46" s="41">
        <f>SUM(Tabla25[[#This Row],[Gener]:[Desembre]])</f>
        <v>1559738.43</v>
      </c>
    </row>
    <row r="47" spans="1:15" x14ac:dyDescent="0.25">
      <c r="A47" s="21"/>
      <c r="B47" s="82" t="s">
        <v>58</v>
      </c>
      <c r="C47" s="84">
        <f>(C45/C46)-1</f>
        <v>-0.1887776171794342</v>
      </c>
      <c r="D47" s="84">
        <f>(D45/D46)-1</f>
        <v>-0.15286123032904153</v>
      </c>
      <c r="E47" s="84">
        <f t="shared" ref="E47:O47" si="1">(E45/E46)-1</f>
        <v>0.24694376528117368</v>
      </c>
      <c r="F47" s="84">
        <f t="shared" si="1"/>
        <v>0.36862477231329693</v>
      </c>
      <c r="G47" s="84">
        <f t="shared" si="1"/>
        <v>0.16327478858842115</v>
      </c>
      <c r="H47" s="84">
        <f t="shared" si="1"/>
        <v>4.0567278178851973E-2</v>
      </c>
      <c r="I47" s="84">
        <f t="shared" si="1"/>
        <v>-0.15453626484710636</v>
      </c>
      <c r="J47" s="84">
        <f t="shared" si="1"/>
        <v>-6.3565414861018743E-3</v>
      </c>
      <c r="K47" s="84">
        <f t="shared" si="1"/>
        <v>-8.2748996789727136E-2</v>
      </c>
      <c r="L47" s="84">
        <f t="shared" si="1"/>
        <v>-9.8259404828747843E-2</v>
      </c>
      <c r="M47" s="84">
        <f t="shared" si="1"/>
        <v>-4.7839260086110613E-2</v>
      </c>
      <c r="N47" s="84">
        <f t="shared" si="1"/>
        <v>-4.1731066460587329E-2</v>
      </c>
      <c r="O47" s="84">
        <f t="shared" si="1"/>
        <v>-2.1183718605945923E-2</v>
      </c>
    </row>
    <row r="48" spans="1:15" x14ac:dyDescent="0.2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5:16" x14ac:dyDescent="0.25">
      <c r="P49" s="20"/>
    </row>
    <row r="50" spans="5:16" x14ac:dyDescent="0.25">
      <c r="E50" s="83"/>
      <c r="H50" s="85"/>
      <c r="P50" s="20"/>
    </row>
  </sheetData>
  <sheetProtection password="C3D2" sheet="1" objects="1" scenarios="1"/>
  <pageMargins left="0.19685039370078741" right="0.23622047244094491" top="0.39370078740157483" bottom="0.47" header="0.19685039370078741" footer="0.26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2"/>
  <sheetViews>
    <sheetView showZeros="0" zoomScale="85" zoomScaleNormal="85" workbookViewId="0">
      <pane xSplit="2" ySplit="3" topLeftCell="C4" activePane="bottomRight" state="frozen"/>
      <selection activeCell="B45" sqref="B45"/>
      <selection pane="topRight" activeCell="B45" sqref="B45"/>
      <selection pane="bottomLeft" activeCell="B45" sqref="B45"/>
      <selection pane="bottomRight" activeCell="O23" sqref="O23"/>
    </sheetView>
  </sheetViews>
  <sheetFormatPr baseColWidth="10" defaultColWidth="11.42578125" defaultRowHeight="15" x14ac:dyDescent="0.25"/>
  <cols>
    <col min="1" max="1" width="5.28515625" style="3" customWidth="1"/>
    <col min="2" max="2" width="26.140625" style="3" bestFit="1" customWidth="1"/>
    <col min="3" max="10" width="11.42578125" style="2"/>
    <col min="11" max="11" width="11.42578125" style="2" customWidth="1"/>
    <col min="12" max="12" width="11.42578125" style="2"/>
    <col min="13" max="14" width="11.42578125" style="2" customWidth="1"/>
    <col min="15" max="15" width="11.42578125" style="2"/>
    <col min="16" max="16384" width="11.42578125" style="3"/>
  </cols>
  <sheetData>
    <row r="1" spans="1:15" ht="15.75" x14ac:dyDescent="0.25">
      <c r="B1" s="1" t="s">
        <v>73</v>
      </c>
    </row>
    <row r="2" spans="1:15" ht="15.75" thickBot="1" x14ac:dyDescent="0.3">
      <c r="C2" s="4" t="s">
        <v>53</v>
      </c>
    </row>
    <row r="3" spans="1:15" ht="15.75" thickBot="1" x14ac:dyDescent="0.3">
      <c r="A3" s="8" t="s">
        <v>60</v>
      </c>
      <c r="B3" s="22" t="s">
        <v>57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7" t="s">
        <v>38</v>
      </c>
    </row>
    <row r="4" spans="1:15" x14ac:dyDescent="0.25">
      <c r="A4" s="99">
        <v>1</v>
      </c>
      <c r="B4" s="97" t="s">
        <v>39</v>
      </c>
      <c r="C4" s="55">
        <v>14072.7</v>
      </c>
      <c r="D4" s="50">
        <v>12755.02</v>
      </c>
      <c r="E4" s="69">
        <v>14938.91</v>
      </c>
      <c r="F4" s="9">
        <v>13768.96</v>
      </c>
      <c r="G4" s="9">
        <v>13836.76</v>
      </c>
      <c r="H4" s="9">
        <v>16354</v>
      </c>
      <c r="I4" s="9">
        <v>16409</v>
      </c>
      <c r="J4" s="9">
        <v>14410.24</v>
      </c>
      <c r="K4" s="9">
        <v>13700.93</v>
      </c>
      <c r="L4" s="9">
        <v>12505.13</v>
      </c>
      <c r="M4" s="9">
        <v>14445.96</v>
      </c>
      <c r="N4" s="10">
        <v>13151</v>
      </c>
      <c r="O4" s="133">
        <f>SUM(Tabla3[[#This Row],[Gener]:[Desembre]])</f>
        <v>170348.61000000002</v>
      </c>
    </row>
    <row r="5" spans="1:15" x14ac:dyDescent="0.25">
      <c r="A5" s="13">
        <v>2</v>
      </c>
      <c r="B5" s="98" t="s">
        <v>0</v>
      </c>
      <c r="C5" s="56">
        <v>12581.61</v>
      </c>
      <c r="D5" s="52">
        <v>11720.36</v>
      </c>
      <c r="E5" s="70">
        <v>14527.47</v>
      </c>
      <c r="F5" s="11">
        <v>14507.25</v>
      </c>
      <c r="G5" s="11">
        <v>15177.25</v>
      </c>
      <c r="H5" s="11">
        <v>13657.73</v>
      </c>
      <c r="I5" s="11">
        <v>15322.72</v>
      </c>
      <c r="J5" s="11">
        <v>16001</v>
      </c>
      <c r="K5" s="11">
        <v>14585.86</v>
      </c>
      <c r="L5" s="11">
        <v>12035.61</v>
      </c>
      <c r="M5" s="11">
        <v>13294.24</v>
      </c>
      <c r="N5" s="12">
        <v>13276</v>
      </c>
      <c r="O5" s="134">
        <f>SUM(Tabla3[[#This Row],[Gener]:[Desembre]])</f>
        <v>166687.09999999998</v>
      </c>
    </row>
    <row r="6" spans="1:15" x14ac:dyDescent="0.25">
      <c r="A6" s="13">
        <v>3</v>
      </c>
      <c r="B6" s="98" t="s">
        <v>1</v>
      </c>
      <c r="C6" s="56">
        <v>44005.09</v>
      </c>
      <c r="D6" s="52">
        <f>25805.23+16918.57</f>
        <v>42723.8</v>
      </c>
      <c r="E6" s="70">
        <v>47400</v>
      </c>
      <c r="F6" s="11">
        <v>47720</v>
      </c>
      <c r="G6" s="11">
        <v>50120</v>
      </c>
      <c r="H6" s="11">
        <v>49540</v>
      </c>
      <c r="I6" s="11">
        <v>50448.26</v>
      </c>
      <c r="J6" s="11">
        <v>46887.82</v>
      </c>
      <c r="K6" s="11">
        <v>48851.82</v>
      </c>
      <c r="L6" s="11">
        <v>48840</v>
      </c>
      <c r="M6" s="11">
        <v>48740</v>
      </c>
      <c r="N6" s="12">
        <v>50080</v>
      </c>
      <c r="O6" s="134">
        <f>SUM(Tabla3[[#This Row],[Gener]:[Desembre]])</f>
        <v>575356.79</v>
      </c>
    </row>
    <row r="7" spans="1:15" x14ac:dyDescent="0.25">
      <c r="A7" s="13">
        <v>4</v>
      </c>
      <c r="B7" s="98" t="s">
        <v>2</v>
      </c>
      <c r="C7" s="56">
        <v>1093.32</v>
      </c>
      <c r="D7" s="52">
        <v>1082.3699999999999</v>
      </c>
      <c r="E7" s="70">
        <v>1661.5</v>
      </c>
      <c r="F7" s="11">
        <v>1411.37</v>
      </c>
      <c r="G7" s="11">
        <v>1509.18</v>
      </c>
      <c r="H7" s="11">
        <v>1900.38</v>
      </c>
      <c r="I7" s="11">
        <v>1781.45</v>
      </c>
      <c r="J7" s="11">
        <v>1917.65</v>
      </c>
      <c r="K7" s="11">
        <v>1707.29</v>
      </c>
      <c r="L7" s="11">
        <v>1323.73</v>
      </c>
      <c r="M7" s="11">
        <v>1424.27</v>
      </c>
      <c r="N7" s="12">
        <v>1495</v>
      </c>
      <c r="O7" s="134">
        <f>SUM(Tabla3[[#This Row],[Gener]:[Desembre]])</f>
        <v>18307.509999999998</v>
      </c>
    </row>
    <row r="8" spans="1:15" x14ac:dyDescent="0.25">
      <c r="A8" s="13">
        <v>5</v>
      </c>
      <c r="B8" s="98" t="s">
        <v>3</v>
      </c>
      <c r="C8" s="56">
        <v>16630.77</v>
      </c>
      <c r="D8" s="52">
        <v>15780</v>
      </c>
      <c r="E8" s="70">
        <v>18680</v>
      </c>
      <c r="F8" s="11">
        <v>18360</v>
      </c>
      <c r="G8" s="11">
        <v>16500</v>
      </c>
      <c r="H8" s="11">
        <v>18760</v>
      </c>
      <c r="I8" s="11">
        <v>19000</v>
      </c>
      <c r="J8" s="11">
        <v>16580</v>
      </c>
      <c r="K8" s="11">
        <v>17500</v>
      </c>
      <c r="L8" s="11">
        <v>19000</v>
      </c>
      <c r="M8" s="11">
        <v>19040</v>
      </c>
      <c r="N8" s="12">
        <v>17120</v>
      </c>
      <c r="O8" s="134">
        <f>SUM(Tabla3[[#This Row],[Gener]:[Desembre]])</f>
        <v>212950.77000000002</v>
      </c>
    </row>
    <row r="9" spans="1:15" x14ac:dyDescent="0.25">
      <c r="A9" s="13">
        <v>6</v>
      </c>
      <c r="B9" s="98" t="s">
        <v>4</v>
      </c>
      <c r="C9" s="56">
        <v>31895.360000000001</v>
      </c>
      <c r="D9" s="52">
        <v>31241.57</v>
      </c>
      <c r="E9" s="70">
        <v>38317.17</v>
      </c>
      <c r="F9" s="11">
        <v>31092.92</v>
      </c>
      <c r="G9" s="11">
        <v>33663.14</v>
      </c>
      <c r="H9" s="11">
        <v>33454.51</v>
      </c>
      <c r="I9" s="11">
        <v>34140.959999999999</v>
      </c>
      <c r="J9" s="11">
        <v>30758.92</v>
      </c>
      <c r="K9" s="11">
        <v>31423.5</v>
      </c>
      <c r="L9" s="11">
        <v>31482.52</v>
      </c>
      <c r="M9" s="11">
        <v>29653.26</v>
      </c>
      <c r="N9" s="12">
        <v>34036</v>
      </c>
      <c r="O9" s="134">
        <f>SUM(Tabla3[[#This Row],[Gener]:[Desembre]])</f>
        <v>391159.83000000007</v>
      </c>
    </row>
    <row r="10" spans="1:15" x14ac:dyDescent="0.25">
      <c r="A10" s="13">
        <v>8</v>
      </c>
      <c r="B10" s="98" t="s">
        <v>7</v>
      </c>
      <c r="C10" s="56">
        <v>1747.48</v>
      </c>
      <c r="D10" s="52">
        <v>1734.88</v>
      </c>
      <c r="E10" s="70">
        <v>2873.22</v>
      </c>
      <c r="F10" s="93">
        <v>2500.59</v>
      </c>
      <c r="G10" s="93">
        <v>2464.5300000000002</v>
      </c>
      <c r="H10" s="93">
        <v>3670.99</v>
      </c>
      <c r="I10" s="93">
        <v>2846.26</v>
      </c>
      <c r="J10" s="93">
        <v>3366.82</v>
      </c>
      <c r="K10" s="93">
        <v>2882.74</v>
      </c>
      <c r="L10" s="93">
        <v>2359.54</v>
      </c>
      <c r="M10" s="93">
        <v>2332.29</v>
      </c>
      <c r="N10" s="94">
        <v>2745</v>
      </c>
      <c r="O10" s="134">
        <f>SUM(Tabla3[[#This Row],[Gener]:[Desembre]])</f>
        <v>31524.340000000004</v>
      </c>
    </row>
    <row r="11" spans="1:15" x14ac:dyDescent="0.25">
      <c r="A11" s="13">
        <v>9</v>
      </c>
      <c r="B11" s="98" t="s">
        <v>40</v>
      </c>
      <c r="C11" s="56"/>
      <c r="D11" s="52"/>
      <c r="E11" s="70"/>
      <c r="F11" s="11"/>
      <c r="G11" s="11"/>
      <c r="H11" s="11"/>
      <c r="I11" s="11"/>
      <c r="J11" s="11">
        <v>0</v>
      </c>
      <c r="K11" s="11">
        <v>0</v>
      </c>
      <c r="L11" s="11">
        <v>0</v>
      </c>
      <c r="M11" s="11"/>
      <c r="N11" s="12"/>
      <c r="O11" s="134">
        <f>SUM(Tabla3[[#This Row],[Gener]:[Desembre]])</f>
        <v>0</v>
      </c>
    </row>
    <row r="12" spans="1:15" x14ac:dyDescent="0.25">
      <c r="A12" s="13">
        <v>10</v>
      </c>
      <c r="B12" s="98" t="s">
        <v>41</v>
      </c>
      <c r="C12" s="56">
        <v>28227.24</v>
      </c>
      <c r="D12" s="52"/>
      <c r="E12" s="70">
        <v>30047.48</v>
      </c>
      <c r="F12" s="11">
        <v>29127.5</v>
      </c>
      <c r="G12" s="11">
        <v>28481.45</v>
      </c>
      <c r="H12" s="11">
        <v>27838.1</v>
      </c>
      <c r="I12" s="11">
        <v>26902.66</v>
      </c>
      <c r="J12" s="11">
        <v>25675.49</v>
      </c>
      <c r="K12" s="11">
        <v>26970.63</v>
      </c>
      <c r="L12" s="11">
        <v>28183.26</v>
      </c>
      <c r="M12" s="11">
        <v>29739.02</v>
      </c>
      <c r="N12" s="12">
        <v>28884</v>
      </c>
      <c r="O12" s="134">
        <f>SUM(Tabla3[[#This Row],[Gener]:[Desembre]])</f>
        <v>310076.83</v>
      </c>
    </row>
    <row r="13" spans="1:15" x14ac:dyDescent="0.25">
      <c r="A13" s="13">
        <v>11</v>
      </c>
      <c r="B13" s="98" t="s">
        <v>9</v>
      </c>
      <c r="C13" s="56">
        <f>4791.76+1780+91169.23</f>
        <v>97740.989999999991</v>
      </c>
      <c r="D13" s="52">
        <f>4852.62+2640+81560</f>
        <v>89052.62</v>
      </c>
      <c r="E13" s="70">
        <v>97885.34</v>
      </c>
      <c r="F13" s="11">
        <f>5320.67+2520+86420</f>
        <v>94260.67</v>
      </c>
      <c r="G13" s="11">
        <f>5583.09+2580+91360</f>
        <v>99523.09</v>
      </c>
      <c r="H13" s="11">
        <v>99364.13</v>
      </c>
      <c r="I13" s="11">
        <v>99232.23</v>
      </c>
      <c r="J13" s="11">
        <v>85238.82</v>
      </c>
      <c r="K13" s="11">
        <v>98843.24</v>
      </c>
      <c r="L13" s="11">
        <v>97563.78</v>
      </c>
      <c r="M13" s="11">
        <v>100082.1</v>
      </c>
      <c r="N13" s="12">
        <v>93058</v>
      </c>
      <c r="O13" s="134">
        <f>SUM(Tabla3[[#This Row],[Gener]:[Desembre]])</f>
        <v>1151845.01</v>
      </c>
    </row>
    <row r="14" spans="1:15" x14ac:dyDescent="0.25">
      <c r="A14" s="13">
        <v>12</v>
      </c>
      <c r="B14" s="98" t="s">
        <v>10</v>
      </c>
      <c r="C14" s="56">
        <v>3017.73</v>
      </c>
      <c r="D14" s="52">
        <v>2873.86</v>
      </c>
      <c r="E14" s="70">
        <v>3999.33</v>
      </c>
      <c r="F14" s="11">
        <v>2911.63</v>
      </c>
      <c r="G14" s="11">
        <v>3442.56</v>
      </c>
      <c r="H14" s="11">
        <v>4854.0200000000004</v>
      </c>
      <c r="I14" s="11">
        <v>3884.69</v>
      </c>
      <c r="J14" s="11">
        <v>4041.61</v>
      </c>
      <c r="K14" s="11">
        <v>4452.12</v>
      </c>
      <c r="L14" s="11">
        <v>3458</v>
      </c>
      <c r="M14" s="11">
        <v>3557.13</v>
      </c>
      <c r="N14" s="12">
        <v>4149</v>
      </c>
      <c r="O14" s="134">
        <f>SUM(Tabla3[[#This Row],[Gener]:[Desembre]])</f>
        <v>44641.679999999993</v>
      </c>
    </row>
    <row r="15" spans="1:15" x14ac:dyDescent="0.25">
      <c r="A15" s="13">
        <v>13</v>
      </c>
      <c r="B15" s="98" t="s">
        <v>42</v>
      </c>
      <c r="C15" s="56">
        <f>1020+16484.31</f>
        <v>17504.310000000001</v>
      </c>
      <c r="D15" s="52">
        <f>25678.18+17561.33</f>
        <v>43239.51</v>
      </c>
      <c r="E15" s="70">
        <v>18415.03</v>
      </c>
      <c r="F15" s="11">
        <v>17858.98</v>
      </c>
      <c r="G15" s="11">
        <v>17442.560000000001</v>
      </c>
      <c r="H15" s="11">
        <v>19613.41</v>
      </c>
      <c r="I15" s="11">
        <v>18680.04</v>
      </c>
      <c r="J15" s="11">
        <v>15840</v>
      </c>
      <c r="K15" s="11">
        <v>20101.669999999998</v>
      </c>
      <c r="L15" s="11">
        <v>18967.23</v>
      </c>
      <c r="M15" s="11">
        <v>23026.87</v>
      </c>
      <c r="N15" s="12">
        <v>17684</v>
      </c>
      <c r="O15" s="134">
        <f>SUM(Tabla3[[#This Row],[Gener]:[Desembre]])</f>
        <v>248373.61000000002</v>
      </c>
    </row>
    <row r="16" spans="1:15" x14ac:dyDescent="0.25">
      <c r="A16" s="13">
        <v>14</v>
      </c>
      <c r="B16" s="98" t="s">
        <v>11</v>
      </c>
      <c r="C16" s="56"/>
      <c r="D16" s="52"/>
      <c r="E16" s="70"/>
      <c r="F16" s="11"/>
      <c r="G16" s="11"/>
      <c r="H16" s="11"/>
      <c r="I16" s="11"/>
      <c r="J16" s="11">
        <v>0</v>
      </c>
      <c r="K16" s="11">
        <v>0</v>
      </c>
      <c r="L16" s="11">
        <v>0</v>
      </c>
      <c r="M16" s="11"/>
      <c r="N16" s="12"/>
      <c r="O16" s="134">
        <f>SUM(Tabla3[[#This Row],[Gener]:[Desembre]])</f>
        <v>0</v>
      </c>
    </row>
    <row r="17" spans="1:15" x14ac:dyDescent="0.25">
      <c r="A17" s="13">
        <v>15</v>
      </c>
      <c r="B17" s="98" t="s">
        <v>12</v>
      </c>
      <c r="C17" s="56">
        <v>27880.17</v>
      </c>
      <c r="D17" s="52">
        <v>27570.61</v>
      </c>
      <c r="E17" s="70">
        <v>23634.31</v>
      </c>
      <c r="F17" s="11">
        <v>36040.6</v>
      </c>
      <c r="G17" s="11">
        <v>27828.37</v>
      </c>
      <c r="H17" s="11">
        <v>25372.45</v>
      </c>
      <c r="I17" s="11">
        <v>34907.89</v>
      </c>
      <c r="J17" s="11">
        <v>29022.35</v>
      </c>
      <c r="K17" s="11">
        <v>31778.54</v>
      </c>
      <c r="L17" s="11">
        <v>30880</v>
      </c>
      <c r="M17" s="11">
        <v>30920</v>
      </c>
      <c r="N17" s="12">
        <v>29977</v>
      </c>
      <c r="O17" s="134">
        <f>SUM(Tabla3[[#This Row],[Gener]:[Desembre]])</f>
        <v>355812.29000000004</v>
      </c>
    </row>
    <row r="18" spans="1:15" x14ac:dyDescent="0.25">
      <c r="A18" s="13">
        <v>16</v>
      </c>
      <c r="B18" s="98" t="s">
        <v>13</v>
      </c>
      <c r="C18" s="56"/>
      <c r="D18" s="52"/>
      <c r="E18" s="70"/>
      <c r="F18" s="11"/>
      <c r="G18" s="11"/>
      <c r="H18" s="11"/>
      <c r="I18" s="11"/>
      <c r="J18" s="11">
        <v>0</v>
      </c>
      <c r="K18" s="11">
        <v>0</v>
      </c>
      <c r="L18" s="11">
        <v>0</v>
      </c>
      <c r="M18" s="11"/>
      <c r="N18" s="12"/>
      <c r="O18" s="134">
        <f>SUM(Tabla3[[#This Row],[Gener]:[Desembre]])</f>
        <v>0</v>
      </c>
    </row>
    <row r="19" spans="1:15" x14ac:dyDescent="0.25">
      <c r="A19" s="13">
        <v>17</v>
      </c>
      <c r="B19" s="98" t="s">
        <v>14</v>
      </c>
      <c r="C19" s="56">
        <f>19763.93+2440</f>
        <v>22203.93</v>
      </c>
      <c r="D19" s="52">
        <f>15455.15+4320</f>
        <v>19775.150000000001</v>
      </c>
      <c r="E19" s="70">
        <v>20818.29</v>
      </c>
      <c r="F19" s="11">
        <f>17919.81+2360</f>
        <v>20279.810000000001</v>
      </c>
      <c r="G19" s="11">
        <f>18838.73+4660</f>
        <v>23498.73</v>
      </c>
      <c r="H19" s="11">
        <v>22998.9</v>
      </c>
      <c r="I19" s="11">
        <v>21122.01</v>
      </c>
      <c r="J19" s="11">
        <v>18505.690000000002</v>
      </c>
      <c r="K19" s="11">
        <v>20559.400000000001</v>
      </c>
      <c r="L19" s="11">
        <v>21330</v>
      </c>
      <c r="M19" s="11">
        <v>21150.69</v>
      </c>
      <c r="N19" s="12">
        <v>21101</v>
      </c>
      <c r="O19" s="134">
        <f>SUM(Tabla3[[#This Row],[Gener]:[Desembre]])</f>
        <v>253343.6</v>
      </c>
    </row>
    <row r="20" spans="1:15" x14ac:dyDescent="0.25">
      <c r="A20" s="13">
        <v>18</v>
      </c>
      <c r="B20" s="98" t="s">
        <v>15</v>
      </c>
      <c r="C20" s="56">
        <f>17074.11+68915.69</f>
        <v>85989.8</v>
      </c>
      <c r="D20" s="52">
        <f>15572.53+68878.67</f>
        <v>84451.199999999997</v>
      </c>
      <c r="E20" s="70">
        <v>94983.42</v>
      </c>
      <c r="F20" s="11">
        <f>17242.23+73101.02</f>
        <v>90343.25</v>
      </c>
      <c r="G20" s="11">
        <f>17094+78017.44</f>
        <v>95111.44</v>
      </c>
      <c r="H20" s="11">
        <v>88947.16</v>
      </c>
      <c r="I20" s="11">
        <v>90799.299999999988</v>
      </c>
      <c r="J20" s="11">
        <v>82098.45</v>
      </c>
      <c r="K20" s="11">
        <v>91720.34</v>
      </c>
      <c r="L20" s="11">
        <v>89579.86</v>
      </c>
      <c r="M20" s="11">
        <v>89281.34</v>
      </c>
      <c r="N20" s="12">
        <v>95613</v>
      </c>
      <c r="O20" s="134">
        <f>SUM(Tabla3[[#This Row],[Gener]:[Desembre]])</f>
        <v>1078918.56</v>
      </c>
    </row>
    <row r="21" spans="1:15" x14ac:dyDescent="0.25">
      <c r="A21" s="13">
        <v>19</v>
      </c>
      <c r="B21" s="98" t="s">
        <v>16</v>
      </c>
      <c r="C21" s="56">
        <f>12920+977.88</f>
        <v>13897.88</v>
      </c>
      <c r="D21" s="52">
        <f>1048.1+11700</f>
        <v>12748.1</v>
      </c>
      <c r="E21" s="70">
        <v>14811.92</v>
      </c>
      <c r="F21" s="11">
        <f>12940+664.43</f>
        <v>13604.43</v>
      </c>
      <c r="G21" s="11">
        <f>12000+735.02</f>
        <v>12735.02</v>
      </c>
      <c r="H21" s="11">
        <v>14479.22</v>
      </c>
      <c r="I21" s="11">
        <v>13338.77</v>
      </c>
      <c r="J21" s="11">
        <v>11363.22</v>
      </c>
      <c r="K21" s="11">
        <v>12318.29</v>
      </c>
      <c r="L21" s="11">
        <v>13676.56</v>
      </c>
      <c r="M21" s="11">
        <v>13787.5</v>
      </c>
      <c r="N21" s="12">
        <v>13509</v>
      </c>
      <c r="O21" s="134">
        <f>SUM(Tabla3[[#This Row],[Gener]:[Desembre]])</f>
        <v>160269.91</v>
      </c>
    </row>
    <row r="22" spans="1:15" x14ac:dyDescent="0.25">
      <c r="A22" s="13">
        <v>20</v>
      </c>
      <c r="B22" s="98" t="s">
        <v>17</v>
      </c>
      <c r="C22" s="56"/>
      <c r="D22" s="52"/>
      <c r="E22" s="70"/>
      <c r="F22" s="11"/>
      <c r="G22" s="11"/>
      <c r="H22" s="11"/>
      <c r="I22" s="11"/>
      <c r="J22" s="11">
        <v>0</v>
      </c>
      <c r="K22" s="11">
        <v>0</v>
      </c>
      <c r="L22" s="11">
        <v>0</v>
      </c>
      <c r="M22" s="11"/>
      <c r="N22" s="12"/>
      <c r="O22" s="134">
        <f>SUM(Tabla3[[#This Row],[Gener]:[Desembre]])</f>
        <v>0</v>
      </c>
    </row>
    <row r="23" spans="1:15" x14ac:dyDescent="0.25">
      <c r="A23" s="13">
        <v>21</v>
      </c>
      <c r="B23" s="98" t="s">
        <v>18</v>
      </c>
      <c r="C23" s="56">
        <v>810.11</v>
      </c>
      <c r="D23" s="52">
        <v>846.1</v>
      </c>
      <c r="E23" s="70">
        <v>1427.38</v>
      </c>
      <c r="F23" s="11">
        <v>1229.5899999999999</v>
      </c>
      <c r="G23" s="11">
        <v>1252.04</v>
      </c>
      <c r="H23" s="11">
        <v>1862.03</v>
      </c>
      <c r="I23" s="11">
        <v>1918.91</v>
      </c>
      <c r="J23" s="11">
        <v>2188.5</v>
      </c>
      <c r="K23" s="11">
        <v>1721.08</v>
      </c>
      <c r="L23" s="11">
        <v>1296.27</v>
      </c>
      <c r="M23" s="11">
        <v>1111.6500000000001</v>
      </c>
      <c r="N23" s="12">
        <v>1260</v>
      </c>
      <c r="O23" s="134">
        <f>SUM(Tabla3[[#This Row],[Gener]:[Desembre]])</f>
        <v>16923.66</v>
      </c>
    </row>
    <row r="24" spans="1:15" x14ac:dyDescent="0.25">
      <c r="A24" s="13">
        <v>22</v>
      </c>
      <c r="B24" s="98" t="s">
        <v>19</v>
      </c>
      <c r="C24" s="56">
        <f>6115.78+19360</f>
        <v>25475.78</v>
      </c>
      <c r="D24" s="52">
        <f>5977.09+17684.32</f>
        <v>23661.41</v>
      </c>
      <c r="E24" s="70">
        <v>27014.05</v>
      </c>
      <c r="F24" s="11">
        <f>6153.58+19780</f>
        <v>25933.58</v>
      </c>
      <c r="G24" s="11">
        <f>6905.56+20880</f>
        <v>27785.56</v>
      </c>
      <c r="H24" s="11">
        <v>26563.45</v>
      </c>
      <c r="I24" s="11">
        <v>26302.54</v>
      </c>
      <c r="J24" s="11">
        <v>22951.46</v>
      </c>
      <c r="K24" s="11">
        <v>25816.1</v>
      </c>
      <c r="L24" s="11">
        <v>26683.57</v>
      </c>
      <c r="M24" s="11">
        <v>27699.8</v>
      </c>
      <c r="N24" s="12">
        <v>27021</v>
      </c>
      <c r="O24" s="134">
        <f>SUM(Tabla3[[#This Row],[Gener]:[Desembre]])</f>
        <v>312908.30000000005</v>
      </c>
    </row>
    <row r="25" spans="1:15" x14ac:dyDescent="0.25">
      <c r="A25" s="13">
        <v>23</v>
      </c>
      <c r="B25" s="98" t="s">
        <v>43</v>
      </c>
      <c r="C25" s="56">
        <v>14380</v>
      </c>
      <c r="D25" s="52">
        <v>13537.11</v>
      </c>
      <c r="E25" s="70">
        <v>15540</v>
      </c>
      <c r="F25" s="11">
        <v>14740</v>
      </c>
      <c r="G25" s="11">
        <v>14040</v>
      </c>
      <c r="H25" s="11">
        <v>16780</v>
      </c>
      <c r="I25" s="11">
        <v>15040</v>
      </c>
      <c r="J25" s="11">
        <v>14900</v>
      </c>
      <c r="K25" s="11">
        <v>14760</v>
      </c>
      <c r="L25" s="11">
        <v>14840</v>
      </c>
      <c r="M25" s="11">
        <v>17240</v>
      </c>
      <c r="N25" s="12">
        <v>14680</v>
      </c>
      <c r="O25" s="134">
        <f>SUM(Tabla3[[#This Row],[Gener]:[Desembre]])</f>
        <v>180477.11</v>
      </c>
    </row>
    <row r="26" spans="1:15" x14ac:dyDescent="0.25">
      <c r="A26" s="13">
        <v>24</v>
      </c>
      <c r="B26" s="98" t="s">
        <v>44</v>
      </c>
      <c r="C26" s="56">
        <f>390.98+15920</f>
        <v>16310.98</v>
      </c>
      <c r="D26" s="52">
        <f>189.98+14080</f>
        <v>14269.98</v>
      </c>
      <c r="E26" s="70">
        <v>17789.89</v>
      </c>
      <c r="F26" s="11">
        <f>322.86+12440+2060</f>
        <v>14822.86</v>
      </c>
      <c r="G26" s="11">
        <f>569.6+13060+3380</f>
        <v>17009.599999999999</v>
      </c>
      <c r="H26" s="11">
        <v>18227.43</v>
      </c>
      <c r="I26" s="11">
        <v>18049.599999999999</v>
      </c>
      <c r="J26" s="11">
        <v>16506.509999999998</v>
      </c>
      <c r="K26" s="11">
        <v>15963.91</v>
      </c>
      <c r="L26" s="11">
        <v>17439.47</v>
      </c>
      <c r="M26" s="11">
        <v>19526.099999999999</v>
      </c>
      <c r="N26" s="12">
        <v>16214</v>
      </c>
      <c r="O26" s="134">
        <f>SUM(Tabla3[[#This Row],[Gener]:[Desembre]])</f>
        <v>202130.33000000002</v>
      </c>
    </row>
    <row r="27" spans="1:15" x14ac:dyDescent="0.25">
      <c r="A27" s="13">
        <v>25</v>
      </c>
      <c r="B27" s="98" t="s">
        <v>20</v>
      </c>
      <c r="C27" s="56">
        <v>29017.46</v>
      </c>
      <c r="D27" s="52">
        <v>28504.37</v>
      </c>
      <c r="E27" s="70">
        <v>34630.300000000003</v>
      </c>
      <c r="F27" s="11">
        <v>34830.769999999997</v>
      </c>
      <c r="G27" s="11">
        <v>30382.76</v>
      </c>
      <c r="H27" s="11">
        <v>36097.74</v>
      </c>
      <c r="I27" s="11">
        <v>33169.31</v>
      </c>
      <c r="J27" s="11">
        <v>33002.29</v>
      </c>
      <c r="K27" s="11">
        <v>35300.080000000002</v>
      </c>
      <c r="L27" s="11">
        <v>28424.400000000001</v>
      </c>
      <c r="M27" s="11">
        <v>33123.699999999997</v>
      </c>
      <c r="N27" s="12">
        <v>31656</v>
      </c>
      <c r="O27" s="134">
        <f>SUM(Tabla3[[#This Row],[Gener]:[Desembre]])</f>
        <v>388139.18000000005</v>
      </c>
    </row>
    <row r="28" spans="1:15" x14ac:dyDescent="0.25">
      <c r="A28" s="13">
        <v>26</v>
      </c>
      <c r="B28" s="98" t="s">
        <v>45</v>
      </c>
      <c r="C28" s="56">
        <v>8380</v>
      </c>
      <c r="D28" s="52">
        <v>7040</v>
      </c>
      <c r="E28" s="70">
        <v>8400</v>
      </c>
      <c r="F28" s="11">
        <v>8920</v>
      </c>
      <c r="G28" s="11">
        <v>8900</v>
      </c>
      <c r="H28" s="11">
        <v>8080</v>
      </c>
      <c r="I28" s="11">
        <v>9040</v>
      </c>
      <c r="J28" s="11">
        <v>8380</v>
      </c>
      <c r="K28" s="11">
        <v>7880</v>
      </c>
      <c r="L28" s="11">
        <v>8960</v>
      </c>
      <c r="M28" s="11">
        <v>8560</v>
      </c>
      <c r="N28" s="12">
        <v>8140</v>
      </c>
      <c r="O28" s="134">
        <f>SUM(Tabla3[[#This Row],[Gener]:[Desembre]])</f>
        <v>100680</v>
      </c>
    </row>
    <row r="29" spans="1:15" x14ac:dyDescent="0.25">
      <c r="A29" s="13">
        <v>27</v>
      </c>
      <c r="B29" s="98" t="s">
        <v>46</v>
      </c>
      <c r="C29" s="56"/>
      <c r="D29" s="52"/>
      <c r="E29" s="70"/>
      <c r="F29" s="11"/>
      <c r="G29" s="11"/>
      <c r="H29" s="11"/>
      <c r="I29" s="11"/>
      <c r="J29" s="11">
        <v>0</v>
      </c>
      <c r="K29" s="11">
        <v>0</v>
      </c>
      <c r="L29" s="11">
        <v>0</v>
      </c>
      <c r="M29" s="11"/>
      <c r="N29" s="12"/>
      <c r="O29" s="134">
        <f>SUM(Tabla3[[#This Row],[Gener]:[Desembre]])</f>
        <v>0</v>
      </c>
    </row>
    <row r="30" spans="1:15" x14ac:dyDescent="0.25">
      <c r="A30" s="13">
        <v>28</v>
      </c>
      <c r="B30" s="98" t="s">
        <v>47</v>
      </c>
      <c r="C30" s="56">
        <v>13597.34</v>
      </c>
      <c r="D30" s="52">
        <v>12850.49</v>
      </c>
      <c r="E30" s="70">
        <v>15682.51</v>
      </c>
      <c r="F30" s="11">
        <v>14614.46</v>
      </c>
      <c r="G30" s="11">
        <v>15535.69</v>
      </c>
      <c r="H30" s="11">
        <v>14180.37</v>
      </c>
      <c r="I30" s="11">
        <v>15263.57</v>
      </c>
      <c r="J30" s="11">
        <v>15461.25</v>
      </c>
      <c r="K30" s="11">
        <v>14404.22</v>
      </c>
      <c r="L30" s="11">
        <v>12637.52</v>
      </c>
      <c r="M30" s="11">
        <v>14243.3</v>
      </c>
      <c r="N30" s="12">
        <v>14112</v>
      </c>
      <c r="O30" s="134">
        <f>SUM(Tabla3[[#This Row],[Gener]:[Desembre]])</f>
        <v>172582.71999999997</v>
      </c>
    </row>
    <row r="31" spans="1:15" x14ac:dyDescent="0.25">
      <c r="A31" s="13">
        <v>29</v>
      </c>
      <c r="B31" s="98" t="s">
        <v>48</v>
      </c>
      <c r="C31" s="56">
        <v>209.1</v>
      </c>
      <c r="D31" s="52">
        <v>211.52</v>
      </c>
      <c r="E31" s="70">
        <v>337.9</v>
      </c>
      <c r="F31" s="11">
        <v>281.79000000000002</v>
      </c>
      <c r="G31" s="11">
        <v>294.26</v>
      </c>
      <c r="H31" s="11">
        <v>366.6</v>
      </c>
      <c r="I31" s="11">
        <v>293.39</v>
      </c>
      <c r="J31" s="11">
        <v>387.03</v>
      </c>
      <c r="K31" s="11">
        <v>308.89</v>
      </c>
      <c r="L31" s="11">
        <v>296.45999999999998</v>
      </c>
      <c r="M31" s="11">
        <v>270.10000000000002</v>
      </c>
      <c r="N31" s="12">
        <v>360</v>
      </c>
      <c r="O31" s="134">
        <f>SUM(Tabla3[[#This Row],[Gener]:[Desembre]])</f>
        <v>3617.04</v>
      </c>
    </row>
    <row r="32" spans="1:15" x14ac:dyDescent="0.25">
      <c r="A32" s="13">
        <v>30</v>
      </c>
      <c r="B32" s="98" t="s">
        <v>50</v>
      </c>
      <c r="C32" s="56">
        <v>24700</v>
      </c>
      <c r="D32" s="52">
        <v>21800</v>
      </c>
      <c r="E32" s="70">
        <v>25300</v>
      </c>
      <c r="F32" s="11">
        <v>26440</v>
      </c>
      <c r="G32" s="11">
        <v>26400</v>
      </c>
      <c r="H32" s="11">
        <v>24500</v>
      </c>
      <c r="I32" s="11">
        <v>27340</v>
      </c>
      <c r="J32" s="11">
        <v>25620</v>
      </c>
      <c r="K32" s="11">
        <v>24000</v>
      </c>
      <c r="L32" s="11">
        <v>26300</v>
      </c>
      <c r="M32" s="11">
        <v>25520</v>
      </c>
      <c r="N32" s="12">
        <v>25200</v>
      </c>
      <c r="O32" s="134">
        <f>SUM(Tabla3[[#This Row],[Gener]:[Desembre]])</f>
        <v>303120</v>
      </c>
    </row>
    <row r="33" spans="1:17" x14ac:dyDescent="0.25">
      <c r="A33" s="13">
        <v>31</v>
      </c>
      <c r="B33" s="98" t="s">
        <v>51</v>
      </c>
      <c r="C33" s="56">
        <v>3747.86</v>
      </c>
      <c r="D33" s="52">
        <v>2734.44</v>
      </c>
      <c r="E33" s="70">
        <v>2801.05</v>
      </c>
      <c r="F33" s="11">
        <v>2785.54</v>
      </c>
      <c r="G33" s="11">
        <v>3390.98</v>
      </c>
      <c r="H33" s="11">
        <v>3181.15</v>
      </c>
      <c r="I33" s="11">
        <v>3107.29</v>
      </c>
      <c r="J33" s="11">
        <v>4871.25</v>
      </c>
      <c r="K33" s="11">
        <v>2918.12</v>
      </c>
      <c r="L33" s="11">
        <v>3009.88</v>
      </c>
      <c r="M33" s="11">
        <v>3310.3</v>
      </c>
      <c r="N33" s="12">
        <v>2132</v>
      </c>
      <c r="O33" s="134">
        <f>SUM(Tabla3[[#This Row],[Gener]:[Desembre]])</f>
        <v>37989.86</v>
      </c>
    </row>
    <row r="34" spans="1:17" x14ac:dyDescent="0.25">
      <c r="A34" s="13">
        <v>32</v>
      </c>
      <c r="B34" s="98" t="s">
        <v>52</v>
      </c>
      <c r="C34" s="56">
        <v>18957.009999999998</v>
      </c>
      <c r="D34" s="52">
        <v>15989.37</v>
      </c>
      <c r="E34" s="70">
        <v>19156.88</v>
      </c>
      <c r="F34" s="11">
        <v>19394.95</v>
      </c>
      <c r="G34" s="11">
        <v>18313.22</v>
      </c>
      <c r="H34" s="11">
        <v>20566.310000000001</v>
      </c>
      <c r="I34" s="11">
        <v>20409.73</v>
      </c>
      <c r="J34" s="11">
        <v>21255.55</v>
      </c>
      <c r="K34" s="11">
        <v>17681.11</v>
      </c>
      <c r="L34" s="11">
        <v>17790.48</v>
      </c>
      <c r="M34" s="11">
        <v>19415.150000000001</v>
      </c>
      <c r="N34" s="12">
        <v>20017</v>
      </c>
      <c r="O34" s="134">
        <f>SUM(Tabla3[[#This Row],[Gener]:[Desembre]])</f>
        <v>228946.76</v>
      </c>
      <c r="Q34" s="20"/>
    </row>
    <row r="35" spans="1:17" x14ac:dyDescent="0.25">
      <c r="A35" s="13">
        <v>33</v>
      </c>
      <c r="B35" s="98" t="s">
        <v>21</v>
      </c>
      <c r="C35" s="56"/>
      <c r="D35" s="52"/>
      <c r="E35" s="70">
        <v>407.55</v>
      </c>
      <c r="F35" s="11"/>
      <c r="G35" s="11"/>
      <c r="H35" s="11"/>
      <c r="I35" s="11"/>
      <c r="J35" s="11">
        <v>0</v>
      </c>
      <c r="K35" s="11">
        <v>0</v>
      </c>
      <c r="L35" s="11">
        <v>0</v>
      </c>
      <c r="M35" s="11"/>
      <c r="N35" s="12"/>
      <c r="O35" s="134">
        <f>SUM(Tabla3[[#This Row],[Gener]:[Desembre]])</f>
        <v>407.55</v>
      </c>
    </row>
    <row r="36" spans="1:17" x14ac:dyDescent="0.25">
      <c r="A36" s="13">
        <v>34</v>
      </c>
      <c r="B36" s="98" t="s">
        <v>22</v>
      </c>
      <c r="C36" s="56">
        <v>6001.93</v>
      </c>
      <c r="D36" s="52">
        <v>5427.8</v>
      </c>
      <c r="E36" s="70">
        <v>6792.57</v>
      </c>
      <c r="F36" s="11">
        <v>5903.46</v>
      </c>
      <c r="G36" s="11">
        <v>5249.54</v>
      </c>
      <c r="H36" s="11">
        <v>6662.83</v>
      </c>
      <c r="I36" s="11">
        <v>6904.49</v>
      </c>
      <c r="J36" s="11">
        <v>6517.42</v>
      </c>
      <c r="K36" s="11">
        <v>5480.25</v>
      </c>
      <c r="L36" s="11">
        <v>5729.32</v>
      </c>
      <c r="M36" s="11">
        <v>5743.88</v>
      </c>
      <c r="N36" s="12">
        <v>5271</v>
      </c>
      <c r="O36" s="134">
        <f>SUM(Tabla3[[#This Row],[Gener]:[Desembre]])</f>
        <v>71684.489999999991</v>
      </c>
    </row>
    <row r="37" spans="1:17" x14ac:dyDescent="0.25">
      <c r="A37" s="13">
        <v>35</v>
      </c>
      <c r="B37" s="98" t="s">
        <v>23</v>
      </c>
      <c r="C37" s="56">
        <v>6330.56</v>
      </c>
      <c r="D37" s="52">
        <v>5580.59</v>
      </c>
      <c r="E37" s="70">
        <v>7857.95</v>
      </c>
      <c r="F37" s="11">
        <v>6284.21</v>
      </c>
      <c r="G37" s="11">
        <v>7776.63</v>
      </c>
      <c r="H37" s="11">
        <v>7776.34</v>
      </c>
      <c r="I37" s="11">
        <v>7770.2</v>
      </c>
      <c r="J37" s="11">
        <v>7329.94</v>
      </c>
      <c r="K37" s="11">
        <v>7686.84</v>
      </c>
      <c r="L37" s="11">
        <v>5847.63</v>
      </c>
      <c r="M37" s="11">
        <v>6294.19</v>
      </c>
      <c r="N37" s="12">
        <v>6756</v>
      </c>
      <c r="O37" s="134">
        <f>SUM(Tabla3[[#This Row],[Gener]:[Desembre]])</f>
        <v>83291.08</v>
      </c>
    </row>
    <row r="38" spans="1:17" x14ac:dyDescent="0.25">
      <c r="A38" s="13">
        <v>36</v>
      </c>
      <c r="B38" s="98" t="s">
        <v>24</v>
      </c>
      <c r="C38" s="56">
        <v>1443.34</v>
      </c>
      <c r="D38" s="52">
        <v>1533.31</v>
      </c>
      <c r="E38" s="70">
        <v>1702.86</v>
      </c>
      <c r="F38" s="11">
        <f>80+1308.38</f>
        <v>1388.38</v>
      </c>
      <c r="G38" s="11">
        <v>1157.44</v>
      </c>
      <c r="H38" s="11">
        <v>1585.98</v>
      </c>
      <c r="I38" s="11">
        <v>1275.31</v>
      </c>
      <c r="J38" s="11">
        <v>1358.39</v>
      </c>
      <c r="K38" s="11">
        <v>1607.88</v>
      </c>
      <c r="L38" s="11">
        <v>1402</v>
      </c>
      <c r="M38" s="11">
        <v>1522.87</v>
      </c>
      <c r="N38" s="12">
        <v>1431</v>
      </c>
      <c r="O38" s="134">
        <f>SUM(Tabla3[[#This Row],[Gener]:[Desembre]])</f>
        <v>17408.759999999998</v>
      </c>
    </row>
    <row r="39" spans="1:17" x14ac:dyDescent="0.25">
      <c r="A39" s="13">
        <v>37</v>
      </c>
      <c r="B39" s="98" t="s">
        <v>25</v>
      </c>
      <c r="C39" s="56">
        <v>9338.5300000000007</v>
      </c>
      <c r="D39" s="52">
        <v>9689.4599999999991</v>
      </c>
      <c r="E39" s="70">
        <v>10303.06</v>
      </c>
      <c r="F39" s="11">
        <v>12066.08</v>
      </c>
      <c r="G39" s="11">
        <v>10741.11</v>
      </c>
      <c r="H39" s="11">
        <v>11589.45</v>
      </c>
      <c r="I39" s="11">
        <v>12036.03</v>
      </c>
      <c r="J39" s="11">
        <v>10201.09</v>
      </c>
      <c r="K39" s="11">
        <v>10581.46</v>
      </c>
      <c r="L39" s="11">
        <v>9125.89</v>
      </c>
      <c r="M39" s="11">
        <v>9871.93</v>
      </c>
      <c r="N39" s="12">
        <v>9782</v>
      </c>
      <c r="O39" s="134">
        <f>SUM(Tabla3[[#This Row],[Gener]:[Desembre]])</f>
        <v>125326.09</v>
      </c>
    </row>
    <row r="40" spans="1:17" x14ac:dyDescent="0.25">
      <c r="A40" s="13">
        <v>38</v>
      </c>
      <c r="B40" s="98" t="s">
        <v>5</v>
      </c>
      <c r="C40" s="56">
        <v>2280.35</v>
      </c>
      <c r="D40" s="52">
        <v>2616.21</v>
      </c>
      <c r="E40" s="70">
        <v>3588.98</v>
      </c>
      <c r="F40" s="11">
        <v>2534.17</v>
      </c>
      <c r="G40" s="11">
        <v>2721.18</v>
      </c>
      <c r="H40" s="11">
        <v>3070.88</v>
      </c>
      <c r="I40" s="11">
        <v>2769.14</v>
      </c>
      <c r="J40" s="11">
        <v>2848.45</v>
      </c>
      <c r="K40" s="11">
        <v>3766.59</v>
      </c>
      <c r="L40" s="11">
        <v>2214.52</v>
      </c>
      <c r="M40" s="11">
        <v>2200.25</v>
      </c>
      <c r="N40" s="12">
        <v>2705</v>
      </c>
      <c r="O40" s="134">
        <f>SUM(Tabla3[[#This Row],[Gener]:[Desembre]])</f>
        <v>33315.72</v>
      </c>
    </row>
    <row r="41" spans="1:17" x14ac:dyDescent="0.25">
      <c r="A41" s="13">
        <v>39</v>
      </c>
      <c r="B41" s="98" t="s">
        <v>6</v>
      </c>
      <c r="C41" s="56">
        <f>979.5+8880</f>
        <v>9859.5</v>
      </c>
      <c r="D41" s="52">
        <f>525.17+7120</f>
        <v>7645.17</v>
      </c>
      <c r="E41" s="70">
        <v>9387.24</v>
      </c>
      <c r="F41" s="11">
        <f>894.41+8100</f>
        <v>8994.41</v>
      </c>
      <c r="G41" s="11">
        <f>1106.68+8200</f>
        <v>9306.68</v>
      </c>
      <c r="H41" s="11">
        <v>8360.7800000000007</v>
      </c>
      <c r="I41" s="11">
        <v>9524.43</v>
      </c>
      <c r="J41" s="11">
        <v>10342.25</v>
      </c>
      <c r="K41" s="11">
        <v>8583.09</v>
      </c>
      <c r="L41" s="11">
        <v>8824.25</v>
      </c>
      <c r="M41" s="11">
        <v>8745.58</v>
      </c>
      <c r="N41" s="12">
        <v>7427</v>
      </c>
      <c r="O41" s="134">
        <f>SUM(Tabla3[[#This Row],[Gener]:[Desembre]])</f>
        <v>107000.37999999999</v>
      </c>
    </row>
    <row r="42" spans="1:17" x14ac:dyDescent="0.25">
      <c r="A42" s="13">
        <v>40</v>
      </c>
      <c r="B42" s="98" t="s">
        <v>8</v>
      </c>
      <c r="C42" s="56">
        <v>0</v>
      </c>
      <c r="D42" s="52">
        <v>510.58</v>
      </c>
      <c r="E42" s="70">
        <v>637.66</v>
      </c>
      <c r="F42" s="11">
        <v>196.55</v>
      </c>
      <c r="G42" s="11">
        <v>401.83</v>
      </c>
      <c r="H42" s="11">
        <v>537.41999999999996</v>
      </c>
      <c r="I42" s="11">
        <v>432.86</v>
      </c>
      <c r="J42" s="11">
        <v>727.84</v>
      </c>
      <c r="K42" s="11">
        <v>645.05999999999995</v>
      </c>
      <c r="L42" s="11">
        <v>546.92999999999995</v>
      </c>
      <c r="M42" s="11">
        <v>292.51</v>
      </c>
      <c r="N42" s="12">
        <v>514</v>
      </c>
      <c r="O42" s="134">
        <f>SUM(Tabla3[[#This Row],[Gener]:[Desembre]])</f>
        <v>5443.2400000000007</v>
      </c>
    </row>
    <row r="43" spans="1:17" s="4" customFormat="1" ht="15.75" thickBot="1" x14ac:dyDescent="0.3">
      <c r="A43" s="91">
        <v>41</v>
      </c>
      <c r="B43" s="100" t="s">
        <v>49</v>
      </c>
      <c r="C43" s="57"/>
      <c r="D43" s="54"/>
      <c r="E43" s="71"/>
      <c r="F43" s="14"/>
      <c r="G43" s="14"/>
      <c r="H43" s="14"/>
      <c r="I43" s="14"/>
      <c r="J43" s="14">
        <v>0</v>
      </c>
      <c r="K43" s="282">
        <v>0</v>
      </c>
      <c r="L43" s="14">
        <v>0</v>
      </c>
      <c r="M43" s="14"/>
      <c r="N43" s="15"/>
      <c r="O43" s="135">
        <f>SUM(Tabla3[[#This Row],[Gener]:[Desembre]])</f>
        <v>0</v>
      </c>
    </row>
    <row r="44" spans="1:17" ht="15.75" thickBot="1" x14ac:dyDescent="0.3">
      <c r="A44" s="95"/>
      <c r="B44" s="49" t="s">
        <v>38</v>
      </c>
      <c r="C44" s="5">
        <f t="shared" ref="C44:L44" si="0">SUBTOTAL(109,C4:C43)</f>
        <v>609328.2300000001</v>
      </c>
      <c r="D44" s="6">
        <f t="shared" si="0"/>
        <v>571196.96</v>
      </c>
      <c r="E44" s="6">
        <f t="shared" si="0"/>
        <v>651751.22</v>
      </c>
      <c r="F44" s="6">
        <f t="shared" si="0"/>
        <v>635148.75999999989</v>
      </c>
      <c r="G44" s="6">
        <f t="shared" si="0"/>
        <v>641992.59999999986</v>
      </c>
      <c r="H44" s="6">
        <f t="shared" si="0"/>
        <v>650793.76</v>
      </c>
      <c r="I44" s="6">
        <f t="shared" si="0"/>
        <v>659463.04</v>
      </c>
      <c r="J44" s="6">
        <f t="shared" si="0"/>
        <v>606557.29999999993</v>
      </c>
      <c r="K44" s="6">
        <f t="shared" si="0"/>
        <v>636501.04999999981</v>
      </c>
      <c r="L44" s="6">
        <f t="shared" si="0"/>
        <v>622553.81000000006</v>
      </c>
      <c r="M44" s="6">
        <f>SUBTOTAL(109,M4:M43)</f>
        <v>645165.98</v>
      </c>
      <c r="N44" s="6">
        <f>SUBTOTAL(109,N4:N43)</f>
        <v>630556</v>
      </c>
      <c r="O44" s="27">
        <f>SUBTOTAL(109,O4:O43)</f>
        <v>7561008.71</v>
      </c>
    </row>
    <row r="45" spans="1:17" ht="15.75" thickBot="1" x14ac:dyDescent="0.3">
      <c r="A45" s="14"/>
      <c r="B45" s="123" t="s">
        <v>68</v>
      </c>
      <c r="C45" s="252">
        <v>2091.77</v>
      </c>
      <c r="D45" s="253">
        <v>2343.04</v>
      </c>
      <c r="E45" s="253">
        <v>2068.81</v>
      </c>
      <c r="F45" s="253">
        <v>2131.25</v>
      </c>
      <c r="G45" s="253">
        <v>2299.42</v>
      </c>
      <c r="H45" s="253">
        <v>2506.2399999999998</v>
      </c>
      <c r="I45" s="253">
        <v>2396.96</v>
      </c>
      <c r="J45" s="253">
        <v>1762.72</v>
      </c>
      <c r="K45" s="253">
        <v>1378.94</v>
      </c>
      <c r="L45" s="253">
        <v>3816.19</v>
      </c>
      <c r="M45" s="253">
        <v>2374.04</v>
      </c>
      <c r="N45" s="253">
        <v>4505</v>
      </c>
      <c r="O45" s="254">
        <f>SUM(Tabla3[[#This Row],[Gener]:[Desembre]])</f>
        <v>29674.379999999997</v>
      </c>
    </row>
    <row r="46" spans="1:17" ht="15.75" thickBot="1" x14ac:dyDescent="0.3">
      <c r="A46" s="246"/>
      <c r="B46" s="247" t="s">
        <v>71</v>
      </c>
      <c r="C46" s="248">
        <f>C44+C45</f>
        <v>611420.00000000012</v>
      </c>
      <c r="D46" s="249">
        <f>D45+D44</f>
        <v>573540</v>
      </c>
      <c r="E46" s="249">
        <f>E45+E44</f>
        <v>653820.03</v>
      </c>
      <c r="F46" s="249">
        <f t="shared" ref="F46:N46" si="1">F45+F44</f>
        <v>637280.00999999989</v>
      </c>
      <c r="G46" s="249">
        <f t="shared" si="1"/>
        <v>644292.0199999999</v>
      </c>
      <c r="H46" s="249">
        <f t="shared" si="1"/>
        <v>653300</v>
      </c>
      <c r="I46" s="249">
        <f t="shared" si="1"/>
        <v>661860</v>
      </c>
      <c r="J46" s="249">
        <f t="shared" si="1"/>
        <v>608320.0199999999</v>
      </c>
      <c r="K46" s="249">
        <f t="shared" si="1"/>
        <v>637879.98999999976</v>
      </c>
      <c r="L46" s="249">
        <f t="shared" si="1"/>
        <v>626370</v>
      </c>
      <c r="M46" s="249">
        <f t="shared" si="1"/>
        <v>647540.02</v>
      </c>
      <c r="N46" s="250">
        <f t="shared" si="1"/>
        <v>635061</v>
      </c>
      <c r="O46" s="251">
        <f>SUM(Tabla3[[#This Row],[Gener]:[Desembre]])</f>
        <v>7590683.0899999999</v>
      </c>
    </row>
    <row r="47" spans="1:17" ht="15.75" thickBot="1" x14ac:dyDescent="0.3">
      <c r="A47" s="95"/>
      <c r="B47" s="28" t="s">
        <v>69</v>
      </c>
      <c r="C47" s="29">
        <v>599779.97999999986</v>
      </c>
      <c r="D47" s="30">
        <v>528459.96999999986</v>
      </c>
      <c r="E47" s="30">
        <v>601019.99999999988</v>
      </c>
      <c r="F47" s="30">
        <v>634699.9800000001</v>
      </c>
      <c r="G47" s="30">
        <v>634400.0199999999</v>
      </c>
      <c r="H47" s="30">
        <v>670300.01999999979</v>
      </c>
      <c r="I47" s="30">
        <v>649720.17000000004</v>
      </c>
      <c r="J47" s="30">
        <v>585680.02</v>
      </c>
      <c r="K47" s="30">
        <v>610300.00999999989</v>
      </c>
      <c r="L47" s="30">
        <v>632939.98999999987</v>
      </c>
      <c r="M47" s="30">
        <v>622380.02000000014</v>
      </c>
      <c r="N47" s="31">
        <v>661420.01</v>
      </c>
      <c r="O47" s="32">
        <f>SUM(Tabla3[[#This Row],[Gener]:[Desembre]])</f>
        <v>7431100.1900000004</v>
      </c>
    </row>
    <row r="48" spans="1:17" x14ac:dyDescent="0.25">
      <c r="A48" s="95"/>
      <c r="B48" s="82" t="s">
        <v>58</v>
      </c>
      <c r="C48" s="244">
        <f>(C46/C47)-1</f>
        <v>1.9407149935215084E-2</v>
      </c>
      <c r="D48" s="245">
        <f>(D46/D47)-1</f>
        <v>8.5304531202240685E-2</v>
      </c>
      <c r="E48" s="245">
        <f t="shared" ref="E48:O48" si="2">(E46/E47)-1</f>
        <v>8.7850703803534325E-2</v>
      </c>
      <c r="F48" s="245">
        <f t="shared" si="2"/>
        <v>4.0649599516291435E-3</v>
      </c>
      <c r="G48" s="245">
        <f t="shared" si="2"/>
        <v>1.5592685510949389E-2</v>
      </c>
      <c r="H48" s="245">
        <f t="shared" si="2"/>
        <v>-2.5361807388876056E-2</v>
      </c>
      <c r="I48" s="245">
        <f t="shared" si="2"/>
        <v>1.8684705447885364E-2</v>
      </c>
      <c r="J48" s="245">
        <f t="shared" si="2"/>
        <v>3.8655920002188093E-2</v>
      </c>
      <c r="K48" s="245">
        <f t="shared" si="2"/>
        <v>4.5190856215125752E-2</v>
      </c>
      <c r="L48" s="245">
        <f t="shared" si="2"/>
        <v>-1.0380115182799354E-2</v>
      </c>
      <c r="M48" s="245">
        <f t="shared" si="2"/>
        <v>4.0425462244112254E-2</v>
      </c>
      <c r="N48" s="245">
        <f t="shared" si="2"/>
        <v>-3.9852150829243871E-2</v>
      </c>
      <c r="O48" s="245">
        <f t="shared" si="2"/>
        <v>2.1475003151585792E-2</v>
      </c>
    </row>
    <row r="51" s="3" customFormat="1" x14ac:dyDescent="0.25"/>
    <row r="52" s="3" customFormat="1" x14ac:dyDescent="0.25"/>
  </sheetData>
  <sheetProtection password="C3D2" sheet="1" objects="1" scenarios="1"/>
  <pageMargins left="0.47" right="0.19685039370078741" top="0.51181102362204722" bottom="0.39370078740157483" header="0.19685039370078741" footer="0.15748031496062992"/>
  <pageSetup paperSize="9" scale="70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R49"/>
  <sheetViews>
    <sheetView showZeros="0" zoomScale="90" zoomScaleNormal="90" workbookViewId="0">
      <pane xSplit="2" ySplit="4" topLeftCell="C11" activePane="bottomRight" state="frozen"/>
      <selection activeCell="B45" sqref="B45"/>
      <selection pane="topRight" activeCell="B45" sqref="B45"/>
      <selection pane="bottomLeft" activeCell="B45" sqref="B45"/>
      <selection pane="bottomRight" activeCell="O24" sqref="O24"/>
    </sheetView>
  </sheetViews>
  <sheetFormatPr baseColWidth="10" defaultColWidth="11.42578125" defaultRowHeight="15" x14ac:dyDescent="0.25"/>
  <cols>
    <col min="1" max="1" width="5.42578125" style="3" customWidth="1"/>
    <col min="2" max="2" width="26.140625" style="3" bestFit="1" customWidth="1"/>
    <col min="3" max="5" width="11.42578125" style="2"/>
    <col min="6" max="6" width="11.85546875" style="2" bestFit="1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74</v>
      </c>
    </row>
    <row r="3" spans="1:15" ht="15.75" thickBot="1" x14ac:dyDescent="0.3">
      <c r="C3" s="4" t="s">
        <v>54</v>
      </c>
    </row>
    <row r="4" spans="1:15" ht="15.75" thickBot="1" x14ac:dyDescent="0.3">
      <c r="A4" s="104" t="s">
        <v>59</v>
      </c>
      <c r="B4" s="22" t="s">
        <v>57</v>
      </c>
      <c r="C4" s="5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7" t="s">
        <v>37</v>
      </c>
      <c r="O4" s="27" t="s">
        <v>38</v>
      </c>
    </row>
    <row r="5" spans="1:15" x14ac:dyDescent="0.25">
      <c r="A5" s="105">
        <v>1</v>
      </c>
      <c r="B5" s="102" t="s">
        <v>39</v>
      </c>
      <c r="C5" s="55">
        <v>18744.54</v>
      </c>
      <c r="D5" s="50">
        <v>12371.62</v>
      </c>
      <c r="E5" s="50">
        <v>22253.51</v>
      </c>
      <c r="F5" s="50">
        <v>20412.080000000002</v>
      </c>
      <c r="G5" s="50">
        <v>10955.19</v>
      </c>
      <c r="H5" s="50">
        <v>13738.27</v>
      </c>
      <c r="I5" s="50">
        <v>18352.88</v>
      </c>
      <c r="J5" s="50">
        <v>24526.73</v>
      </c>
      <c r="K5" s="50">
        <v>18575.14</v>
      </c>
      <c r="L5" s="50">
        <v>15008.47</v>
      </c>
      <c r="M5" s="50">
        <v>18830.7</v>
      </c>
      <c r="N5" s="51">
        <v>11634</v>
      </c>
      <c r="O5" s="133">
        <f>SUM(Tabla5[[#This Row],[Gener]:[Desembre]])</f>
        <v>205403.13000000003</v>
      </c>
    </row>
    <row r="6" spans="1:15" x14ac:dyDescent="0.25">
      <c r="A6" s="106">
        <v>2</v>
      </c>
      <c r="B6" s="103" t="s">
        <v>0</v>
      </c>
      <c r="C6" s="56">
        <v>10563.53</v>
      </c>
      <c r="D6" s="52">
        <v>11359.03</v>
      </c>
      <c r="E6" s="52">
        <v>22558.89</v>
      </c>
      <c r="F6" s="52">
        <v>19791.12</v>
      </c>
      <c r="G6" s="52">
        <v>4160.6099999999997</v>
      </c>
      <c r="H6" s="52">
        <v>17300</v>
      </c>
      <c r="I6" s="52">
        <v>32682.79</v>
      </c>
      <c r="J6" s="52">
        <v>20607.53</v>
      </c>
      <c r="K6" s="52">
        <v>4523.6400000000003</v>
      </c>
      <c r="L6" s="52">
        <v>21490.58</v>
      </c>
      <c r="M6" s="52">
        <v>21784.76</v>
      </c>
      <c r="N6" s="53">
        <v>17932</v>
      </c>
      <c r="O6" s="134">
        <f>SUM(Tabla5[[#This Row],[Gener]:[Desembre]])</f>
        <v>204754.48000000004</v>
      </c>
    </row>
    <row r="7" spans="1:15" x14ac:dyDescent="0.25">
      <c r="A7" s="106">
        <v>3</v>
      </c>
      <c r="B7" s="103" t="s">
        <v>1</v>
      </c>
      <c r="C7" s="56">
        <v>30694.18</v>
      </c>
      <c r="D7" s="52">
        <v>35985.15</v>
      </c>
      <c r="E7" s="52">
        <v>48909.04</v>
      </c>
      <c r="F7" s="52">
        <v>26962.74</v>
      </c>
      <c r="G7" s="52">
        <v>19732.060000000001</v>
      </c>
      <c r="H7" s="52">
        <v>35726.550000000003</v>
      </c>
      <c r="I7" s="52">
        <v>35251.79</v>
      </c>
      <c r="J7" s="52">
        <v>33347.379999999997</v>
      </c>
      <c r="K7" s="52">
        <v>36570.46</v>
      </c>
      <c r="L7" s="52">
        <v>26969.82</v>
      </c>
      <c r="M7" s="52">
        <v>30611.31</v>
      </c>
      <c r="N7" s="53">
        <v>26629</v>
      </c>
      <c r="O7" s="134">
        <f>SUM(Tabla5[[#This Row],[Gener]:[Desembre]])</f>
        <v>387389.48</v>
      </c>
    </row>
    <row r="8" spans="1:15" x14ac:dyDescent="0.25">
      <c r="A8" s="106">
        <v>4</v>
      </c>
      <c r="B8" s="103" t="s">
        <v>2</v>
      </c>
      <c r="C8" s="56">
        <v>1960</v>
      </c>
      <c r="D8" s="52">
        <v>1443.33</v>
      </c>
      <c r="E8" s="52"/>
      <c r="F8" s="52">
        <v>2962.29</v>
      </c>
      <c r="G8" s="52">
        <v>1950.81</v>
      </c>
      <c r="H8" s="52">
        <v>2113.6799999999998</v>
      </c>
      <c r="I8" s="52">
        <v>2250</v>
      </c>
      <c r="J8" s="52">
        <v>2353.5500000000002</v>
      </c>
      <c r="K8" s="52">
        <v>2607.06</v>
      </c>
      <c r="L8" s="52">
        <v>1617.78</v>
      </c>
      <c r="M8" s="52">
        <v>751.3</v>
      </c>
      <c r="N8" s="53">
        <v>2167</v>
      </c>
      <c r="O8" s="134">
        <f>SUM(Tabla5[[#This Row],[Gener]:[Desembre]])</f>
        <v>22176.799999999999</v>
      </c>
    </row>
    <row r="9" spans="1:15" x14ac:dyDescent="0.25">
      <c r="A9" s="106">
        <v>5</v>
      </c>
      <c r="B9" s="103" t="s">
        <v>3</v>
      </c>
      <c r="C9" s="56">
        <v>24879.27</v>
      </c>
      <c r="D9" s="52">
        <v>11996.19</v>
      </c>
      <c r="E9" s="52">
        <v>9765.35</v>
      </c>
      <c r="F9" s="52">
        <v>25215.96</v>
      </c>
      <c r="G9" s="52">
        <v>10266.08</v>
      </c>
      <c r="H9" s="52">
        <v>12437.55</v>
      </c>
      <c r="I9" s="52">
        <v>17379.22</v>
      </c>
      <c r="J9" s="52">
        <v>16930.87</v>
      </c>
      <c r="K9" s="52">
        <v>13084.99</v>
      </c>
      <c r="L9" s="52">
        <v>16530.830000000002</v>
      </c>
      <c r="M9" s="52">
        <v>19765.71</v>
      </c>
      <c r="N9" s="53">
        <v>25849</v>
      </c>
      <c r="O9" s="134">
        <f>SUM(Tabla5[[#This Row],[Gener]:[Desembre]])</f>
        <v>204101.02</v>
      </c>
    </row>
    <row r="10" spans="1:15" x14ac:dyDescent="0.25">
      <c r="A10" s="106">
        <v>6</v>
      </c>
      <c r="B10" s="103" t="s">
        <v>4</v>
      </c>
      <c r="C10" s="56">
        <v>48332.56</v>
      </c>
      <c r="D10" s="52">
        <v>35175.82</v>
      </c>
      <c r="E10" s="52">
        <v>27568.29</v>
      </c>
      <c r="F10" s="52">
        <v>26755.01</v>
      </c>
      <c r="G10" s="52">
        <v>33023.32</v>
      </c>
      <c r="H10" s="52">
        <v>46748.13</v>
      </c>
      <c r="I10" s="52">
        <v>36487.199999999997</v>
      </c>
      <c r="J10" s="52">
        <v>27472.16</v>
      </c>
      <c r="K10" s="52">
        <v>38629.85</v>
      </c>
      <c r="L10" s="52">
        <v>22601.87</v>
      </c>
      <c r="M10" s="52">
        <v>30358.42</v>
      </c>
      <c r="N10" s="53">
        <v>27205</v>
      </c>
      <c r="O10" s="134">
        <f>SUM(Tabla5[[#This Row],[Gener]:[Desembre]])</f>
        <v>400357.62999999995</v>
      </c>
    </row>
    <row r="11" spans="1:15" x14ac:dyDescent="0.25">
      <c r="A11" s="106">
        <v>8</v>
      </c>
      <c r="B11" s="103" t="s">
        <v>7</v>
      </c>
      <c r="C11" s="56">
        <v>4900</v>
      </c>
      <c r="D11" s="52">
        <v>3247.5</v>
      </c>
      <c r="E11" s="52"/>
      <c r="F11" s="52">
        <v>5828.88</v>
      </c>
      <c r="G11" s="52">
        <v>3901.62</v>
      </c>
      <c r="H11" s="52">
        <v>4755.79</v>
      </c>
      <c r="I11" s="52">
        <v>4000</v>
      </c>
      <c r="J11" s="52">
        <v>5098.0600000000004</v>
      </c>
      <c r="K11" s="52">
        <v>6262.5</v>
      </c>
      <c r="L11" s="52">
        <v>3640</v>
      </c>
      <c r="M11" s="52">
        <v>1408.7</v>
      </c>
      <c r="N11" s="53">
        <v>4605</v>
      </c>
      <c r="O11" s="134">
        <f>SUM(Tabla5[[#This Row],[Gener]:[Desembre]])</f>
        <v>47648.05</v>
      </c>
    </row>
    <row r="12" spans="1:15" x14ac:dyDescent="0.25">
      <c r="A12" s="106">
        <v>9</v>
      </c>
      <c r="B12" s="103" t="s">
        <v>40</v>
      </c>
      <c r="C12" s="56"/>
      <c r="D12" s="52"/>
      <c r="E12" s="52"/>
      <c r="F12" s="52"/>
      <c r="G12" s="52"/>
      <c r="H12" s="52"/>
      <c r="I12" s="52"/>
      <c r="J12" s="52"/>
      <c r="K12" s="52">
        <v>0</v>
      </c>
      <c r="L12" s="52">
        <v>0</v>
      </c>
      <c r="M12" s="52"/>
      <c r="N12" s="53"/>
      <c r="O12" s="134">
        <f>SUM(Tabla5[[#This Row],[Gener]:[Desembre]])</f>
        <v>0</v>
      </c>
    </row>
    <row r="13" spans="1:15" x14ac:dyDescent="0.25">
      <c r="A13" s="106">
        <v>10</v>
      </c>
      <c r="B13" s="103" t="s">
        <v>41</v>
      </c>
      <c r="C13" s="56">
        <v>30521.55</v>
      </c>
      <c r="D13" s="52">
        <v>37912.449999999997</v>
      </c>
      <c r="E13" s="52">
        <v>18467.849999999999</v>
      </c>
      <c r="F13" s="52">
        <v>33857.839999999997</v>
      </c>
      <c r="G13" s="52">
        <v>20133.95</v>
      </c>
      <c r="H13" s="52">
        <v>19706.669999999998</v>
      </c>
      <c r="I13" s="52">
        <v>37140.54</v>
      </c>
      <c r="J13" s="52">
        <v>31860</v>
      </c>
      <c r="K13" s="52">
        <v>24372.91</v>
      </c>
      <c r="L13" s="52">
        <v>27940.28</v>
      </c>
      <c r="M13" s="52">
        <v>19251.77</v>
      </c>
      <c r="N13" s="53">
        <v>27017</v>
      </c>
      <c r="O13" s="134">
        <f>SUM(Tabla5[[#This Row],[Gener]:[Desembre]])</f>
        <v>328182.81000000006</v>
      </c>
    </row>
    <row r="14" spans="1:15" x14ac:dyDescent="0.25">
      <c r="A14" s="106">
        <v>11</v>
      </c>
      <c r="B14" s="103" t="s">
        <v>9</v>
      </c>
      <c r="C14" s="56">
        <v>106640</v>
      </c>
      <c r="D14" s="52">
        <v>74092.95</v>
      </c>
      <c r="E14" s="52">
        <v>52089.84</v>
      </c>
      <c r="F14" s="52">
        <v>125718.34</v>
      </c>
      <c r="G14" s="52">
        <v>86812.59</v>
      </c>
      <c r="H14" s="52">
        <v>88868.43</v>
      </c>
      <c r="I14" s="52">
        <v>76216.929999999993</v>
      </c>
      <c r="J14" s="52">
        <v>83499.839999999997</v>
      </c>
      <c r="K14" s="52">
        <v>102936.72</v>
      </c>
      <c r="L14" s="52">
        <v>79650.429999999993</v>
      </c>
      <c r="M14" s="52">
        <v>100220.13</v>
      </c>
      <c r="N14" s="53">
        <v>105000</v>
      </c>
      <c r="O14" s="134">
        <f>SUM(Tabla5[[#This Row],[Gener]:[Desembre]])</f>
        <v>1081746.1999999997</v>
      </c>
    </row>
    <row r="15" spans="1:15" x14ac:dyDescent="0.25">
      <c r="A15" s="106">
        <v>12</v>
      </c>
      <c r="B15" s="103" t="s">
        <v>10</v>
      </c>
      <c r="C15" s="56">
        <v>4771.18</v>
      </c>
      <c r="D15" s="52">
        <v>2483.81</v>
      </c>
      <c r="E15" s="52">
        <v>9825.5</v>
      </c>
      <c r="F15" s="52">
        <v>3364.55</v>
      </c>
      <c r="G15" s="52">
        <v>8261.7900000000009</v>
      </c>
      <c r="H15" s="52">
        <v>4523.0200000000004</v>
      </c>
      <c r="I15" s="52">
        <v>7925.71</v>
      </c>
      <c r="J15" s="52">
        <v>3969.47</v>
      </c>
      <c r="K15" s="52">
        <v>2632.63</v>
      </c>
      <c r="L15" s="52">
        <v>4117.53</v>
      </c>
      <c r="M15" s="52">
        <v>4122.41</v>
      </c>
      <c r="N15" s="53">
        <v>8416</v>
      </c>
      <c r="O15" s="134">
        <f>SUM(Tabla5[[#This Row],[Gener]:[Desembre]])</f>
        <v>64413.599999999991</v>
      </c>
    </row>
    <row r="16" spans="1:15" x14ac:dyDescent="0.25">
      <c r="A16" s="106">
        <v>13</v>
      </c>
      <c r="B16" s="103" t="s">
        <v>42</v>
      </c>
      <c r="C16" s="56">
        <v>16040</v>
      </c>
      <c r="D16" s="52">
        <v>8495.6</v>
      </c>
      <c r="E16" s="52">
        <v>12460</v>
      </c>
      <c r="F16" s="52">
        <v>13716.23</v>
      </c>
      <c r="G16" s="52">
        <v>5740</v>
      </c>
      <c r="H16" s="52">
        <v>6302</v>
      </c>
      <c r="I16" s="52">
        <v>13125.48</v>
      </c>
      <c r="J16" s="52">
        <v>13399.04</v>
      </c>
      <c r="K16" s="52">
        <v>7020</v>
      </c>
      <c r="L16" s="52">
        <v>10045.11</v>
      </c>
      <c r="M16" s="52">
        <v>9282</v>
      </c>
      <c r="N16" s="53">
        <v>8799</v>
      </c>
      <c r="O16" s="134">
        <f>SUM(Tabla5[[#This Row],[Gener]:[Desembre]])</f>
        <v>124424.46</v>
      </c>
    </row>
    <row r="17" spans="1:15" x14ac:dyDescent="0.25">
      <c r="A17" s="106">
        <v>14</v>
      </c>
      <c r="B17" s="103" t="s">
        <v>11</v>
      </c>
      <c r="C17" s="56"/>
      <c r="D17" s="52"/>
      <c r="E17" s="52"/>
      <c r="F17" s="52"/>
      <c r="G17" s="52"/>
      <c r="H17" s="52"/>
      <c r="I17" s="52"/>
      <c r="J17" s="52"/>
      <c r="K17" s="52">
        <v>0</v>
      </c>
      <c r="L17" s="52">
        <v>0</v>
      </c>
      <c r="M17" s="52"/>
      <c r="N17" s="53"/>
      <c r="O17" s="134">
        <f>SUM(Tabla5[[#This Row],[Gener]:[Desembre]])</f>
        <v>0</v>
      </c>
    </row>
    <row r="18" spans="1:15" x14ac:dyDescent="0.25">
      <c r="A18" s="106">
        <v>15</v>
      </c>
      <c r="B18" s="103" t="s">
        <v>12</v>
      </c>
      <c r="C18" s="56">
        <v>15993.85</v>
      </c>
      <c r="D18" s="52">
        <v>11175.44</v>
      </c>
      <c r="E18" s="52">
        <v>12086.08</v>
      </c>
      <c r="F18" s="52">
        <v>21885.439999999999</v>
      </c>
      <c r="G18" s="52">
        <v>18350.599999999999</v>
      </c>
      <c r="H18" s="52">
        <v>11124.38</v>
      </c>
      <c r="I18" s="52">
        <v>18970.45</v>
      </c>
      <c r="J18" s="52">
        <v>16108.61</v>
      </c>
      <c r="K18" s="52">
        <v>11223.64</v>
      </c>
      <c r="L18" s="52">
        <v>17511.86</v>
      </c>
      <c r="M18" s="52">
        <v>15693.8</v>
      </c>
      <c r="N18" s="53">
        <v>12409</v>
      </c>
      <c r="O18" s="134">
        <f>SUM(Tabla5[[#This Row],[Gener]:[Desembre]])</f>
        <v>182533.14999999997</v>
      </c>
    </row>
    <row r="19" spans="1:15" x14ac:dyDescent="0.25">
      <c r="A19" s="106">
        <v>16</v>
      </c>
      <c r="B19" s="103" t="s">
        <v>13</v>
      </c>
      <c r="C19" s="56"/>
      <c r="D19" s="52"/>
      <c r="E19" s="52"/>
      <c r="F19" s="52"/>
      <c r="G19" s="52"/>
      <c r="H19" s="52"/>
      <c r="I19" s="52"/>
      <c r="J19" s="52"/>
      <c r="K19" s="52">
        <v>0</v>
      </c>
      <c r="L19" s="52">
        <v>0</v>
      </c>
      <c r="M19" s="52"/>
      <c r="N19" s="53"/>
      <c r="O19" s="134">
        <f>SUM(Tabla5[[#This Row],[Gener]:[Desembre]])</f>
        <v>0</v>
      </c>
    </row>
    <row r="20" spans="1:15" x14ac:dyDescent="0.25">
      <c r="A20" s="106">
        <v>17</v>
      </c>
      <c r="B20" s="103" t="s">
        <v>14</v>
      </c>
      <c r="C20" s="56">
        <f>11773.79+620</f>
        <v>12393.79</v>
      </c>
      <c r="D20" s="52">
        <f>6207.59+1340</f>
        <v>7547.59</v>
      </c>
      <c r="E20" s="52">
        <f>11049.45+700</f>
        <v>11749.45</v>
      </c>
      <c r="F20" s="52">
        <f>7526.82+540</f>
        <v>8066.82</v>
      </c>
      <c r="G20" s="52">
        <f>10374.01+1880</f>
        <v>12254.01</v>
      </c>
      <c r="H20" s="52">
        <f>9487.14+880</f>
        <v>10367.14</v>
      </c>
      <c r="I20" s="52">
        <v>9200.36</v>
      </c>
      <c r="J20" s="52">
        <f>6319.59+820</f>
        <v>7139.59</v>
      </c>
      <c r="K20" s="52">
        <v>11676.36</v>
      </c>
      <c r="L20" s="52">
        <v>10695.23</v>
      </c>
      <c r="M20" s="52">
        <v>10443</v>
      </c>
      <c r="N20" s="53">
        <v>9680</v>
      </c>
      <c r="O20" s="134">
        <f>SUM(Tabla5[[#This Row],[Gener]:[Desembre]])</f>
        <v>121213.34</v>
      </c>
    </row>
    <row r="21" spans="1:15" x14ac:dyDescent="0.25">
      <c r="A21" s="106">
        <v>18</v>
      </c>
      <c r="B21" s="103" t="s">
        <v>15</v>
      </c>
      <c r="C21" s="56">
        <v>83430.53</v>
      </c>
      <c r="D21" s="52">
        <v>50255.08</v>
      </c>
      <c r="E21" s="52">
        <f>66563.51+360</f>
        <v>66923.509999999995</v>
      </c>
      <c r="F21" s="52">
        <v>77157.14</v>
      </c>
      <c r="G21" s="52">
        <v>51162.27</v>
      </c>
      <c r="H21" s="52">
        <v>94993.43</v>
      </c>
      <c r="I21" s="52">
        <v>54974.29</v>
      </c>
      <c r="J21" s="52">
        <v>80018.460000000006</v>
      </c>
      <c r="K21" s="52">
        <v>71459.05</v>
      </c>
      <c r="L21" s="52">
        <v>69425.490000000005</v>
      </c>
      <c r="M21" s="52">
        <v>74652.460000000006</v>
      </c>
      <c r="N21" s="53">
        <v>75734</v>
      </c>
      <c r="O21" s="134">
        <f>SUM(Tabla5[[#This Row],[Gener]:[Desembre]])</f>
        <v>850185.71</v>
      </c>
    </row>
    <row r="22" spans="1:15" x14ac:dyDescent="0.25">
      <c r="A22" s="106">
        <v>19</v>
      </c>
      <c r="B22" s="103" t="s">
        <v>16</v>
      </c>
      <c r="C22" s="56">
        <f>811.03+14900+1080</f>
        <v>16791.03</v>
      </c>
      <c r="D22" s="52">
        <f>10540+655</f>
        <v>11195</v>
      </c>
      <c r="E22" s="52">
        <f>15920+775</f>
        <v>16695</v>
      </c>
      <c r="F22" s="52">
        <f>10820+1217.84</f>
        <v>12037.84</v>
      </c>
      <c r="G22" s="52">
        <f>10300+945.64</f>
        <v>11245.64</v>
      </c>
      <c r="H22" s="52">
        <f>10640+614.55</f>
        <v>11254.55</v>
      </c>
      <c r="I22" s="52">
        <v>7107.14</v>
      </c>
      <c r="J22" s="52">
        <f>12540+874.29</f>
        <v>13414.29</v>
      </c>
      <c r="K22" s="52">
        <v>15744</v>
      </c>
      <c r="L22" s="52">
        <v>11256.36</v>
      </c>
      <c r="M22" s="52">
        <v>11148.07</v>
      </c>
      <c r="N22" s="53">
        <v>12514</v>
      </c>
      <c r="O22" s="134">
        <f>SUM(Tabla5[[#This Row],[Gener]:[Desembre]])</f>
        <v>150402.91999999998</v>
      </c>
    </row>
    <row r="23" spans="1:15" x14ac:dyDescent="0.25">
      <c r="A23" s="106">
        <v>20</v>
      </c>
      <c r="B23" s="103" t="s">
        <v>17</v>
      </c>
      <c r="C23" s="56"/>
      <c r="D23" s="52"/>
      <c r="E23" s="52"/>
      <c r="F23" s="52"/>
      <c r="G23" s="52"/>
      <c r="H23" s="52"/>
      <c r="I23" s="52"/>
      <c r="J23" s="52"/>
      <c r="K23" s="52">
        <v>0</v>
      </c>
      <c r="L23" s="52">
        <v>0</v>
      </c>
      <c r="M23" s="52"/>
      <c r="N23" s="53"/>
      <c r="O23" s="134">
        <f>SUM(Tabla5[[#This Row],[Gener]:[Desembre]])</f>
        <v>0</v>
      </c>
    </row>
    <row r="24" spans="1:15" x14ac:dyDescent="0.25">
      <c r="A24" s="106">
        <v>21</v>
      </c>
      <c r="B24" s="103" t="s">
        <v>18</v>
      </c>
      <c r="C24" s="56">
        <v>1960</v>
      </c>
      <c r="D24" s="52">
        <v>1443.33</v>
      </c>
      <c r="E24" s="52"/>
      <c r="F24" s="52">
        <v>2403.08</v>
      </c>
      <c r="G24" s="52">
        <v>1734.05</v>
      </c>
      <c r="H24" s="52">
        <v>2957.89</v>
      </c>
      <c r="I24" s="52">
        <v>2250</v>
      </c>
      <c r="J24" s="52">
        <v>2211.91</v>
      </c>
      <c r="K24" s="52">
        <v>2932.94</v>
      </c>
      <c r="L24" s="52">
        <v>1617.78</v>
      </c>
      <c r="M24" s="52">
        <v>563.48</v>
      </c>
      <c r="N24" s="53">
        <v>2167</v>
      </c>
      <c r="O24" s="134">
        <f>SUM(Tabla5[[#This Row],[Gener]:[Desembre]])</f>
        <v>22241.46</v>
      </c>
    </row>
    <row r="25" spans="1:15" x14ac:dyDescent="0.25">
      <c r="A25" s="106">
        <v>22</v>
      </c>
      <c r="B25" s="103" t="s">
        <v>19</v>
      </c>
      <c r="C25" s="56">
        <v>30360</v>
      </c>
      <c r="D25" s="52">
        <v>31776.23</v>
      </c>
      <c r="E25" s="52">
        <v>23338.34</v>
      </c>
      <c r="F25" s="52">
        <v>24079.06</v>
      </c>
      <c r="G25" s="52">
        <v>16930</v>
      </c>
      <c r="H25" s="52">
        <v>14605.31</v>
      </c>
      <c r="I25" s="52">
        <v>42970.19</v>
      </c>
      <c r="J25" s="52">
        <v>11088.73</v>
      </c>
      <c r="K25" s="52">
        <v>24921.25</v>
      </c>
      <c r="L25" s="52">
        <v>26729.49</v>
      </c>
      <c r="M25" s="52">
        <v>23997.59</v>
      </c>
      <c r="N25" s="53">
        <v>14477</v>
      </c>
      <c r="O25" s="134">
        <f>SUM(Tabla5[[#This Row],[Gener]:[Desembre]])</f>
        <v>285273.19</v>
      </c>
    </row>
    <row r="26" spans="1:15" x14ac:dyDescent="0.25">
      <c r="A26" s="106">
        <v>23</v>
      </c>
      <c r="B26" s="103" t="s">
        <v>43</v>
      </c>
      <c r="C26" s="56">
        <v>15140</v>
      </c>
      <c r="D26" s="52">
        <v>10873.33</v>
      </c>
      <c r="E26" s="52">
        <v>21824.91</v>
      </c>
      <c r="F26" s="52">
        <v>17241.86</v>
      </c>
      <c r="G26" s="52">
        <v>28119.06</v>
      </c>
      <c r="H26" s="52">
        <v>15918.5</v>
      </c>
      <c r="I26" s="52">
        <v>18320</v>
      </c>
      <c r="J26" s="52">
        <v>24402.35</v>
      </c>
      <c r="K26" s="52">
        <v>24279.4</v>
      </c>
      <c r="L26" s="52">
        <v>13412.77</v>
      </c>
      <c r="M26" s="52">
        <v>13982.24</v>
      </c>
      <c r="N26" s="53">
        <v>16399</v>
      </c>
      <c r="O26" s="134">
        <f>SUM(Tabla5[[#This Row],[Gener]:[Desembre]])</f>
        <v>219913.41999999998</v>
      </c>
    </row>
    <row r="27" spans="1:15" x14ac:dyDescent="0.25">
      <c r="A27" s="106">
        <v>24</v>
      </c>
      <c r="B27" s="103" t="s">
        <v>44</v>
      </c>
      <c r="C27" s="56">
        <v>13686.91</v>
      </c>
      <c r="D27" s="52">
        <v>8162.64</v>
      </c>
      <c r="E27" s="52">
        <v>17222.37</v>
      </c>
      <c r="F27" s="52">
        <v>12017.62</v>
      </c>
      <c r="G27" s="52">
        <v>10509.9</v>
      </c>
      <c r="H27" s="52">
        <v>13821.26</v>
      </c>
      <c r="I27" s="52">
        <v>12488.56</v>
      </c>
      <c r="J27" s="52">
        <v>17271.29</v>
      </c>
      <c r="K27" s="52">
        <v>11807.66</v>
      </c>
      <c r="L27" s="52">
        <v>5369.77</v>
      </c>
      <c r="M27" s="52">
        <v>12880.01</v>
      </c>
      <c r="N27" s="53">
        <v>13607</v>
      </c>
      <c r="O27" s="134">
        <f>SUM(Tabla5[[#This Row],[Gener]:[Desembre]])</f>
        <v>148844.99</v>
      </c>
    </row>
    <row r="28" spans="1:15" x14ac:dyDescent="0.25">
      <c r="A28" s="106">
        <v>25</v>
      </c>
      <c r="B28" s="103" t="s">
        <v>20</v>
      </c>
      <c r="C28" s="56">
        <v>32296.85</v>
      </c>
      <c r="D28" s="52">
        <v>15190.45</v>
      </c>
      <c r="E28" s="52">
        <v>41385.57</v>
      </c>
      <c r="F28" s="52">
        <v>32830.870000000003</v>
      </c>
      <c r="G28" s="52">
        <v>18276.2</v>
      </c>
      <c r="H28" s="52">
        <v>20504.82</v>
      </c>
      <c r="I28" s="52">
        <v>32089.02</v>
      </c>
      <c r="J28" s="52">
        <v>27964.98</v>
      </c>
      <c r="K28" s="52">
        <v>38284.910000000003</v>
      </c>
      <c r="L28" s="52">
        <v>28958.98</v>
      </c>
      <c r="M28" s="52">
        <v>24294.720000000001</v>
      </c>
      <c r="N28" s="53">
        <v>31169</v>
      </c>
      <c r="O28" s="134">
        <f>SUM(Tabla5[[#This Row],[Gener]:[Desembre]])</f>
        <v>343246.37</v>
      </c>
    </row>
    <row r="29" spans="1:15" x14ac:dyDescent="0.25">
      <c r="A29" s="106">
        <v>26</v>
      </c>
      <c r="B29" s="103" t="s">
        <v>45</v>
      </c>
      <c r="C29" s="56">
        <v>7380</v>
      </c>
      <c r="D29" s="52">
        <v>7640</v>
      </c>
      <c r="E29" s="52">
        <v>5560</v>
      </c>
      <c r="F29" s="52">
        <v>5460</v>
      </c>
      <c r="G29" s="52">
        <v>6560</v>
      </c>
      <c r="H29" s="52">
        <v>6200</v>
      </c>
      <c r="I29" s="52">
        <v>9520</v>
      </c>
      <c r="J29" s="52">
        <v>6500</v>
      </c>
      <c r="K29" s="52">
        <v>6400</v>
      </c>
      <c r="L29" s="52">
        <v>6900</v>
      </c>
      <c r="M29" s="52">
        <v>5880</v>
      </c>
      <c r="N29" s="53">
        <v>5500</v>
      </c>
      <c r="O29" s="134">
        <f>SUM(Tabla5[[#This Row],[Gener]:[Desembre]])</f>
        <v>79500</v>
      </c>
    </row>
    <row r="30" spans="1:15" x14ac:dyDescent="0.25">
      <c r="A30" s="106">
        <v>27</v>
      </c>
      <c r="B30" s="103" t="s">
        <v>46</v>
      </c>
      <c r="C30" s="56"/>
      <c r="D30" s="52"/>
      <c r="E30" s="52"/>
      <c r="F30" s="52"/>
      <c r="G30" s="52"/>
      <c r="H30" s="52"/>
      <c r="I30" s="52"/>
      <c r="J30" s="52"/>
      <c r="K30" s="52">
        <v>0</v>
      </c>
      <c r="L30" s="52">
        <v>0</v>
      </c>
      <c r="M30" s="52"/>
      <c r="N30" s="53"/>
      <c r="O30" s="134">
        <f>SUM(Tabla5[[#This Row],[Gener]:[Desembre]])</f>
        <v>0</v>
      </c>
    </row>
    <row r="31" spans="1:15" x14ac:dyDescent="0.25">
      <c r="A31" s="106">
        <v>28</v>
      </c>
      <c r="B31" s="103" t="s">
        <v>47</v>
      </c>
      <c r="C31" s="56">
        <v>15484.45</v>
      </c>
      <c r="D31" s="52">
        <v>8302.02</v>
      </c>
      <c r="E31" s="52">
        <v>16379.39</v>
      </c>
      <c r="F31" s="52">
        <v>14140.94</v>
      </c>
      <c r="G31" s="52">
        <v>13808.9</v>
      </c>
      <c r="H31" s="52">
        <v>12082.4</v>
      </c>
      <c r="I31" s="52">
        <v>11143.41</v>
      </c>
      <c r="J31" s="52">
        <v>11904.79</v>
      </c>
      <c r="K31" s="52">
        <v>13874.67</v>
      </c>
      <c r="L31" s="52">
        <v>16164.33</v>
      </c>
      <c r="M31" s="52">
        <v>13987.41</v>
      </c>
      <c r="N31" s="53">
        <v>13326</v>
      </c>
      <c r="O31" s="134">
        <f>SUM(Tabla5[[#This Row],[Gener]:[Desembre]])</f>
        <v>160598.71</v>
      </c>
    </row>
    <row r="32" spans="1:15" x14ac:dyDescent="0.25">
      <c r="A32" s="106">
        <v>29</v>
      </c>
      <c r="B32" s="103" t="s">
        <v>48</v>
      </c>
      <c r="C32" s="56"/>
      <c r="D32" s="52">
        <v>360.83</v>
      </c>
      <c r="E32" s="52"/>
      <c r="F32" s="52">
        <v>247.18</v>
      </c>
      <c r="G32" s="52">
        <v>433.51</v>
      </c>
      <c r="H32" s="52">
        <v>528.41999999999996</v>
      </c>
      <c r="I32" s="52"/>
      <c r="J32" s="52">
        <v>390.97</v>
      </c>
      <c r="K32" s="52">
        <v>417.5</v>
      </c>
      <c r="L32" s="52">
        <v>404.44</v>
      </c>
      <c r="M32" s="52"/>
      <c r="N32" s="53">
        <v>542</v>
      </c>
      <c r="O32" s="134">
        <f>SUM(Tabla5[[#This Row],[Gener]:[Desembre]])</f>
        <v>3324.85</v>
      </c>
    </row>
    <row r="33" spans="1:18" x14ac:dyDescent="0.25">
      <c r="A33" s="106">
        <v>30</v>
      </c>
      <c r="B33" s="103" t="s">
        <v>50</v>
      </c>
      <c r="C33" s="56">
        <v>18120</v>
      </c>
      <c r="D33" s="52">
        <v>15380</v>
      </c>
      <c r="E33" s="52">
        <v>15320</v>
      </c>
      <c r="F33" s="52">
        <v>20140</v>
      </c>
      <c r="G33" s="52">
        <v>15840</v>
      </c>
      <c r="H33" s="52">
        <v>14840</v>
      </c>
      <c r="I33" s="52">
        <v>24540</v>
      </c>
      <c r="J33" s="52">
        <v>16880</v>
      </c>
      <c r="K33" s="52">
        <v>19540</v>
      </c>
      <c r="L33" s="52">
        <v>14300</v>
      </c>
      <c r="M33" s="52">
        <v>14080</v>
      </c>
      <c r="N33" s="53">
        <v>20300</v>
      </c>
      <c r="O33" s="134">
        <f>SUM(Tabla5[[#This Row],[Gener]:[Desembre]])</f>
        <v>209280</v>
      </c>
    </row>
    <row r="34" spans="1:18" x14ac:dyDescent="0.25">
      <c r="A34" s="106">
        <v>31</v>
      </c>
      <c r="B34" s="103" t="s">
        <v>51</v>
      </c>
      <c r="C34" s="56">
        <v>2740</v>
      </c>
      <c r="D34" s="52">
        <v>1435.29</v>
      </c>
      <c r="E34" s="52">
        <v>7320</v>
      </c>
      <c r="F34" s="52">
        <v>1541.15</v>
      </c>
      <c r="G34" s="52">
        <v>2335.5</v>
      </c>
      <c r="H34" s="52">
        <v>3222.86</v>
      </c>
      <c r="I34" s="52">
        <v>2615.64</v>
      </c>
      <c r="J34" s="52">
        <v>506.21</v>
      </c>
      <c r="K34" s="52">
        <v>2124.7800000000002</v>
      </c>
      <c r="L34" s="52">
        <v>2568.25</v>
      </c>
      <c r="M34" s="52">
        <v>3256.26</v>
      </c>
      <c r="N34" s="53">
        <v>3023</v>
      </c>
      <c r="O34" s="134">
        <f>SUM(Tabla5[[#This Row],[Gener]:[Desembre]])</f>
        <v>32688.939999999995</v>
      </c>
    </row>
    <row r="35" spans="1:18" x14ac:dyDescent="0.25">
      <c r="A35" s="106">
        <v>32</v>
      </c>
      <c r="B35" s="103" t="s">
        <v>52</v>
      </c>
      <c r="C35" s="56">
        <v>19650.45</v>
      </c>
      <c r="D35" s="52">
        <v>17556.669999999998</v>
      </c>
      <c r="E35" s="52">
        <v>19003.330000000002</v>
      </c>
      <c r="F35" s="52">
        <v>25281.29</v>
      </c>
      <c r="G35" s="52">
        <v>12815.58</v>
      </c>
      <c r="H35" s="52">
        <v>20061.59</v>
      </c>
      <c r="I35" s="52">
        <v>19554.91</v>
      </c>
      <c r="J35" s="52">
        <v>17142.689999999999</v>
      </c>
      <c r="K35" s="52">
        <v>24724.44</v>
      </c>
      <c r="L35" s="52">
        <v>20984.080000000002</v>
      </c>
      <c r="M35" s="52">
        <v>22842.799999999999</v>
      </c>
      <c r="N35" s="53">
        <v>22978</v>
      </c>
      <c r="O35" s="134">
        <f>SUM(Tabla5[[#This Row],[Gener]:[Desembre]])</f>
        <v>242595.82999999996</v>
      </c>
    </row>
    <row r="36" spans="1:18" x14ac:dyDescent="0.25">
      <c r="A36" s="106">
        <v>33</v>
      </c>
      <c r="B36" s="103" t="s">
        <v>21</v>
      </c>
      <c r="C36" s="56">
        <v>1360</v>
      </c>
      <c r="D36" s="52"/>
      <c r="E36" s="52">
        <v>1021.33</v>
      </c>
      <c r="F36" s="52"/>
      <c r="G36" s="52">
        <v>777.78</v>
      </c>
      <c r="H36" s="52"/>
      <c r="I36" s="52">
        <v>1305.45</v>
      </c>
      <c r="J36" s="52"/>
      <c r="K36" s="52">
        <v>1303.6400000000001</v>
      </c>
      <c r="L36" s="52">
        <v>0</v>
      </c>
      <c r="M36" s="52">
        <v>1261.71</v>
      </c>
      <c r="N36" s="53"/>
      <c r="O36" s="134">
        <f>SUM(Tabla5[[#This Row],[Gener]:[Desembre]])</f>
        <v>7029.91</v>
      </c>
    </row>
    <row r="37" spans="1:18" x14ac:dyDescent="0.25">
      <c r="A37" s="106">
        <v>34</v>
      </c>
      <c r="B37" s="103" t="s">
        <v>22</v>
      </c>
      <c r="C37" s="56">
        <v>7457.91</v>
      </c>
      <c r="D37" s="52">
        <v>4036.19</v>
      </c>
      <c r="E37" s="52">
        <v>4643.72</v>
      </c>
      <c r="F37" s="52">
        <v>8464.75</v>
      </c>
      <c r="G37" s="52">
        <v>6049.81</v>
      </c>
      <c r="H37" s="52">
        <v>8048.89</v>
      </c>
      <c r="I37" s="52">
        <v>6183.83</v>
      </c>
      <c r="J37" s="52">
        <v>7198.99</v>
      </c>
      <c r="K37" s="52">
        <v>6449.82</v>
      </c>
      <c r="L37" s="52">
        <v>6445.61</v>
      </c>
      <c r="M37" s="52">
        <v>5984.41</v>
      </c>
      <c r="N37" s="53">
        <v>5974</v>
      </c>
      <c r="O37" s="134">
        <f>SUM(Tabla5[[#This Row],[Gener]:[Desembre]])</f>
        <v>76937.930000000008</v>
      </c>
    </row>
    <row r="38" spans="1:18" x14ac:dyDescent="0.25">
      <c r="A38" s="106">
        <v>35</v>
      </c>
      <c r="B38" s="103" t="s">
        <v>23</v>
      </c>
      <c r="C38" s="56">
        <v>13840</v>
      </c>
      <c r="D38" s="52">
        <v>5759.47</v>
      </c>
      <c r="E38" s="52">
        <v>17676</v>
      </c>
      <c r="F38" s="52">
        <v>8937.08</v>
      </c>
      <c r="G38" s="52">
        <v>879.31</v>
      </c>
      <c r="H38" s="52">
        <v>8608.89</v>
      </c>
      <c r="I38" s="52">
        <v>7820</v>
      </c>
      <c r="J38" s="52">
        <v>13880</v>
      </c>
      <c r="K38" s="52">
        <v>9873.33</v>
      </c>
      <c r="L38" s="52">
        <v>7522.2</v>
      </c>
      <c r="M38" s="52">
        <v>8316.69</v>
      </c>
      <c r="N38" s="53">
        <v>9502</v>
      </c>
      <c r="O38" s="134">
        <f>SUM(Tabla5[[#This Row],[Gener]:[Desembre]])</f>
        <v>112614.97</v>
      </c>
    </row>
    <row r="39" spans="1:18" x14ac:dyDescent="0.25">
      <c r="A39" s="106">
        <v>36</v>
      </c>
      <c r="B39" s="103" t="s">
        <v>24</v>
      </c>
      <c r="C39" s="56">
        <v>2448</v>
      </c>
      <c r="D39" s="52">
        <v>1134.55</v>
      </c>
      <c r="E39" s="52">
        <v>1607.44</v>
      </c>
      <c r="F39" s="52">
        <v>5813.68</v>
      </c>
      <c r="G39" s="52">
        <v>3606.71</v>
      </c>
      <c r="H39" s="52">
        <v>1526.9</v>
      </c>
      <c r="I39" s="52">
        <v>1987.66</v>
      </c>
      <c r="J39" s="52">
        <v>2243.08</v>
      </c>
      <c r="K39" s="52">
        <v>1470.88</v>
      </c>
      <c r="L39" s="52">
        <v>1795.51</v>
      </c>
      <c r="M39" s="52">
        <v>2674.08</v>
      </c>
      <c r="N39" s="53">
        <v>3215</v>
      </c>
      <c r="O39" s="134">
        <f>SUM(Tabla5[[#This Row],[Gener]:[Desembre]])</f>
        <v>29523.490000000005</v>
      </c>
    </row>
    <row r="40" spans="1:18" x14ac:dyDescent="0.25">
      <c r="A40" s="106">
        <v>37</v>
      </c>
      <c r="B40" s="103" t="s">
        <v>25</v>
      </c>
      <c r="C40" s="56">
        <v>8080</v>
      </c>
      <c r="D40" s="52">
        <v>5854.81</v>
      </c>
      <c r="E40" s="52">
        <v>14680</v>
      </c>
      <c r="F40" s="52">
        <v>7556.52</v>
      </c>
      <c r="G40" s="52">
        <v>6300</v>
      </c>
      <c r="H40" s="52">
        <v>9020.59</v>
      </c>
      <c r="I40" s="52">
        <v>23438.78</v>
      </c>
      <c r="J40" s="52">
        <v>12494.26</v>
      </c>
      <c r="K40" s="52">
        <v>21968.18</v>
      </c>
      <c r="L40" s="52">
        <v>9533.35</v>
      </c>
      <c r="M40" s="52">
        <v>16968.93</v>
      </c>
      <c r="N40" s="53">
        <v>7568</v>
      </c>
      <c r="O40" s="134">
        <f>SUM(Tabla5[[#This Row],[Gener]:[Desembre]])</f>
        <v>143463.41999999998</v>
      </c>
    </row>
    <row r="41" spans="1:18" x14ac:dyDescent="0.25">
      <c r="A41" s="106">
        <v>38</v>
      </c>
      <c r="B41" s="103" t="s">
        <v>5</v>
      </c>
      <c r="C41" s="56">
        <v>2770.34</v>
      </c>
      <c r="D41" s="52">
        <v>2513.5700000000002</v>
      </c>
      <c r="E41" s="52">
        <v>2875.68</v>
      </c>
      <c r="F41" s="52">
        <v>4158.5600000000004</v>
      </c>
      <c r="G41" s="52">
        <v>3353.87</v>
      </c>
      <c r="H41" s="52">
        <v>2151.7199999999998</v>
      </c>
      <c r="I41" s="52">
        <v>3807.69</v>
      </c>
      <c r="J41" s="52">
        <v>4492.8500000000004</v>
      </c>
      <c r="K41" s="52">
        <v>4190.59</v>
      </c>
      <c r="L41" s="52">
        <v>2694.83</v>
      </c>
      <c r="M41" s="52">
        <v>3199.26</v>
      </c>
      <c r="N41" s="53">
        <v>3857</v>
      </c>
      <c r="O41" s="134">
        <f>SUM(Tabla5[[#This Row],[Gener]:[Desembre]])</f>
        <v>40065.96</v>
      </c>
    </row>
    <row r="42" spans="1:18" x14ac:dyDescent="0.25">
      <c r="A42" s="106">
        <v>39</v>
      </c>
      <c r="B42" s="103" t="s">
        <v>6</v>
      </c>
      <c r="C42" s="56">
        <v>4037.24</v>
      </c>
      <c r="D42" s="52">
        <v>4747.8599999999997</v>
      </c>
      <c r="E42" s="52">
        <v>3491.89</v>
      </c>
      <c r="F42" s="52">
        <v>5809.45</v>
      </c>
      <c r="G42" s="52">
        <v>4127.84</v>
      </c>
      <c r="H42" s="52">
        <v>2582.0700000000002</v>
      </c>
      <c r="I42" s="52">
        <v>4823.08</v>
      </c>
      <c r="J42" s="52">
        <v>4802.5</v>
      </c>
      <c r="K42" s="52">
        <v>3991.06</v>
      </c>
      <c r="L42" s="52">
        <v>4056.77</v>
      </c>
      <c r="M42" s="52">
        <v>6989.63</v>
      </c>
      <c r="N42" s="270">
        <v>4658</v>
      </c>
      <c r="O42" s="134">
        <f>SUM(Tabla5[[#This Row],[Gener]:[Desembre]])</f>
        <v>54117.389999999992</v>
      </c>
    </row>
    <row r="43" spans="1:18" x14ac:dyDescent="0.25">
      <c r="A43" s="106">
        <v>40</v>
      </c>
      <c r="B43" s="103" t="s">
        <v>8</v>
      </c>
      <c r="C43" s="56">
        <v>852.41</v>
      </c>
      <c r="D43" s="52">
        <v>279.29000000000002</v>
      </c>
      <c r="E43" s="52">
        <v>1027.03</v>
      </c>
      <c r="F43" s="52">
        <v>1222.5</v>
      </c>
      <c r="G43" s="52">
        <v>903.04</v>
      </c>
      <c r="H43" s="52">
        <v>430.34</v>
      </c>
      <c r="I43" s="52">
        <v>1269.23</v>
      </c>
      <c r="J43" s="52">
        <v>1073.51</v>
      </c>
      <c r="K43" s="52">
        <v>756</v>
      </c>
      <c r="L43" s="52">
        <v>1151.3699999999999</v>
      </c>
      <c r="M43" s="52">
        <v>954.07</v>
      </c>
      <c r="N43" s="270">
        <v>1752</v>
      </c>
      <c r="O43" s="134">
        <f>SUM(Tabla5[[#This Row],[Gener]:[Desembre]])</f>
        <v>11670.79</v>
      </c>
    </row>
    <row r="44" spans="1:18" ht="15.75" thickBot="1" x14ac:dyDescent="0.3">
      <c r="A44" s="257">
        <v>41</v>
      </c>
      <c r="B44" s="258" t="s">
        <v>49</v>
      </c>
      <c r="C44" s="259"/>
      <c r="D44" s="260"/>
      <c r="E44" s="260"/>
      <c r="F44" s="260"/>
      <c r="G44" s="260"/>
      <c r="H44" s="260"/>
      <c r="I44" s="260"/>
      <c r="J44" s="260"/>
      <c r="K44" s="260">
        <v>0</v>
      </c>
      <c r="L44" s="260">
        <v>0</v>
      </c>
      <c r="M44" s="260"/>
      <c r="N44" s="271"/>
      <c r="O44" s="135">
        <f>SUM(Tabla5[[#This Row],[Gener]:[Desembre]])</f>
        <v>0</v>
      </c>
      <c r="R44" s="281"/>
    </row>
    <row r="45" spans="1:18" s="4" customFormat="1" ht="15.75" thickBot="1" x14ac:dyDescent="0.3">
      <c r="A45" s="262"/>
      <c r="B45" s="263" t="s">
        <v>38</v>
      </c>
      <c r="C45" s="264">
        <f t="shared" ref="C45:N45" si="0">SUBTOTAL(109,C5:C44)</f>
        <v>624320.56999999995</v>
      </c>
      <c r="D45" s="265">
        <f t="shared" si="0"/>
        <v>457183.09</v>
      </c>
      <c r="E45" s="265">
        <f t="shared" si="0"/>
        <v>545729.31000000006</v>
      </c>
      <c r="F45" s="265">
        <f t="shared" si="0"/>
        <v>621077.87000000011</v>
      </c>
      <c r="G45" s="265">
        <f t="shared" si="0"/>
        <v>451311.60000000015</v>
      </c>
      <c r="H45" s="265">
        <f t="shared" si="0"/>
        <v>537072.03999999992</v>
      </c>
      <c r="I45" s="265">
        <f t="shared" si="0"/>
        <v>597192.22999999986</v>
      </c>
      <c r="J45" s="265">
        <f t="shared" si="0"/>
        <v>562194.68999999971</v>
      </c>
      <c r="K45" s="265">
        <f t="shared" si="0"/>
        <v>586630</v>
      </c>
      <c r="L45" s="265">
        <f t="shared" si="0"/>
        <v>509111.1700000001</v>
      </c>
      <c r="M45" s="265">
        <f t="shared" si="0"/>
        <v>550437.83000000007</v>
      </c>
      <c r="N45" s="272">
        <f t="shared" si="0"/>
        <v>555604</v>
      </c>
      <c r="O45" s="276">
        <f>SUBTOTAL(109,O5:O44)</f>
        <v>6597864.3999999994</v>
      </c>
    </row>
    <row r="46" spans="1:18" s="4" customFormat="1" ht="15.75" thickBot="1" x14ac:dyDescent="0.3">
      <c r="A46" s="266"/>
      <c r="B46" s="267" t="s">
        <v>68</v>
      </c>
      <c r="C46" s="268">
        <v>2939.41</v>
      </c>
      <c r="D46" s="266">
        <v>2116.91</v>
      </c>
      <c r="E46" s="266">
        <v>3170.67</v>
      </c>
      <c r="F46" s="266">
        <v>4102.1499999999996</v>
      </c>
      <c r="G46" s="266">
        <v>3928.39</v>
      </c>
      <c r="H46" s="266">
        <v>4847.97</v>
      </c>
      <c r="I46" s="266">
        <v>4867.78</v>
      </c>
      <c r="J46" s="266">
        <v>4675.32</v>
      </c>
      <c r="K46" s="266">
        <v>5230</v>
      </c>
      <c r="L46" s="266">
        <v>3868.83</v>
      </c>
      <c r="M46" s="266">
        <v>4222.3</v>
      </c>
      <c r="N46" s="273">
        <v>5985</v>
      </c>
      <c r="O46" s="278">
        <f>SUM(Tabla5[[#This Row],[Gener]:[Desembre]])</f>
        <v>49954.73</v>
      </c>
    </row>
    <row r="47" spans="1:18" s="4" customFormat="1" ht="15.75" thickBot="1" x14ac:dyDescent="0.3">
      <c r="A47" s="255"/>
      <c r="B47" s="269" t="s">
        <v>71</v>
      </c>
      <c r="C47" s="256">
        <f>C45+C46</f>
        <v>627259.98</v>
      </c>
      <c r="D47" s="255">
        <f t="shared" ref="D47:N47" si="1">D45+D46</f>
        <v>459300</v>
      </c>
      <c r="E47" s="255">
        <f t="shared" si="1"/>
        <v>548899.9800000001</v>
      </c>
      <c r="F47" s="255">
        <f t="shared" si="1"/>
        <v>625180.02000000014</v>
      </c>
      <c r="G47" s="255">
        <f t="shared" si="1"/>
        <v>455239.99000000017</v>
      </c>
      <c r="H47" s="255">
        <f t="shared" si="1"/>
        <v>541920.00999999989</v>
      </c>
      <c r="I47" s="255">
        <f t="shared" si="1"/>
        <v>602060.00999999989</v>
      </c>
      <c r="J47" s="255">
        <f t="shared" si="1"/>
        <v>566870.00999999966</v>
      </c>
      <c r="K47" s="255">
        <f t="shared" si="1"/>
        <v>591860</v>
      </c>
      <c r="L47" s="255">
        <f t="shared" si="1"/>
        <v>512980.00000000012</v>
      </c>
      <c r="M47" s="255">
        <f t="shared" si="1"/>
        <v>554660.13000000012</v>
      </c>
      <c r="N47" s="274">
        <f t="shared" si="1"/>
        <v>561589</v>
      </c>
      <c r="O47" s="261">
        <f>SUM(Tabla5[[#This Row],[Gener]:[Desembre]])</f>
        <v>6647819.129999999</v>
      </c>
    </row>
    <row r="48" spans="1:18" ht="15.75" thickBot="1" x14ac:dyDescent="0.3">
      <c r="A48" s="101"/>
      <c r="B48" s="28" t="s">
        <v>69</v>
      </c>
      <c r="C48" s="29">
        <v>726420.00000000012</v>
      </c>
      <c r="D48" s="30">
        <v>449399.99000000011</v>
      </c>
      <c r="E48" s="30">
        <v>555159.99999999977</v>
      </c>
      <c r="F48" s="30">
        <v>510319.98999999993</v>
      </c>
      <c r="G48" s="30">
        <v>465120.02</v>
      </c>
      <c r="H48" s="30">
        <v>611160.01000000013</v>
      </c>
      <c r="I48" s="30">
        <v>671139.98</v>
      </c>
      <c r="J48" s="30">
        <v>550080.00000000023</v>
      </c>
      <c r="K48" s="30">
        <v>554559.98999999987</v>
      </c>
      <c r="L48" s="30">
        <v>484320.0199999999</v>
      </c>
      <c r="M48" s="30">
        <v>515559.98999999993</v>
      </c>
      <c r="N48" s="275">
        <v>617980.03000000026</v>
      </c>
      <c r="O48" s="277">
        <f>SUM(Tabla5[[#This Row],[Gener]:[Desembre]])</f>
        <v>6711220.0200000005</v>
      </c>
    </row>
    <row r="49" spans="1:15" ht="15.75" thickBot="1" x14ac:dyDescent="0.3">
      <c r="A49" s="101"/>
      <c r="B49" s="86" t="s">
        <v>58</v>
      </c>
      <c r="C49" s="87">
        <f t="shared" ref="C49:O49" si="2">(C45/C48)-1</f>
        <v>-0.14055151289887413</v>
      </c>
      <c r="D49" s="87">
        <f t="shared" si="2"/>
        <v>1.7318869989293662E-2</v>
      </c>
      <c r="E49" s="87">
        <f t="shared" si="2"/>
        <v>-1.6987336983932066E-2</v>
      </c>
      <c r="F49" s="87">
        <f t="shared" si="2"/>
        <v>0.21703613844325442</v>
      </c>
      <c r="G49" s="87">
        <f t="shared" si="2"/>
        <v>-2.9687864220507842E-2</v>
      </c>
      <c r="H49" s="87">
        <f t="shared" si="2"/>
        <v>-0.12122516000351558</v>
      </c>
      <c r="I49" s="87">
        <f t="shared" si="2"/>
        <v>-0.11018230503865989</v>
      </c>
      <c r="J49" s="87">
        <f t="shared" si="2"/>
        <v>2.2023505671901367E-2</v>
      </c>
      <c r="K49" s="87">
        <f t="shared" si="2"/>
        <v>5.7829649773327718E-2</v>
      </c>
      <c r="L49" s="87">
        <f t="shared" si="2"/>
        <v>5.1187539181221986E-2</v>
      </c>
      <c r="M49" s="87">
        <f t="shared" si="2"/>
        <v>6.7650400877694361E-2</v>
      </c>
      <c r="N49" s="87">
        <f t="shared" si="2"/>
        <v>-0.10093534899501566</v>
      </c>
      <c r="O49" s="87">
        <f t="shared" si="2"/>
        <v>-1.6890463978560089E-2</v>
      </c>
    </row>
  </sheetData>
  <sheetProtection password="C3D2" sheet="1" objects="1" scenarios="1"/>
  <pageMargins left="0.19685039370078741" right="0.19685039370078741" top="0.31496062992125984" bottom="0.31496062992125984" header="0.15748031496062992" footer="0.15748031496062992"/>
  <pageSetup paperSize="9" scale="73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showZeros="0" zoomScale="85" zoomScaleNormal="85" workbookViewId="0">
      <pane xSplit="2" ySplit="3" topLeftCell="C4" activePane="bottomRight" state="frozen"/>
      <selection activeCell="H11" sqref="H11"/>
      <selection pane="topRight" activeCell="H11" sqref="H11"/>
      <selection pane="bottomLeft" activeCell="H11" sqref="H11"/>
      <selection pane="bottomRight" activeCell="E34" sqref="E34"/>
    </sheetView>
  </sheetViews>
  <sheetFormatPr baseColWidth="10" defaultColWidth="11.42578125" defaultRowHeight="15" x14ac:dyDescent="0.25"/>
  <cols>
    <col min="1" max="1" width="5.7109375" style="3" customWidth="1"/>
    <col min="2" max="2" width="26.140625" style="3" bestFit="1" customWidth="1"/>
    <col min="3" max="14" width="11.7109375" style="2" customWidth="1"/>
    <col min="15" max="15" width="11.42578125" style="96"/>
    <col min="16" max="16384" width="11.42578125" style="3"/>
  </cols>
  <sheetData>
    <row r="1" spans="1:15" ht="15.75" x14ac:dyDescent="0.25">
      <c r="B1" s="1" t="s">
        <v>75</v>
      </c>
    </row>
    <row r="2" spans="1:15" ht="15.75" thickBot="1" x14ac:dyDescent="0.3">
      <c r="C2" s="4" t="s">
        <v>55</v>
      </c>
    </row>
    <row r="3" spans="1:15" ht="15.75" thickBot="1" x14ac:dyDescent="0.3">
      <c r="A3" s="142" t="s">
        <v>59</v>
      </c>
      <c r="B3" s="139" t="s">
        <v>57</v>
      </c>
      <c r="C3" s="146" t="s">
        <v>26</v>
      </c>
      <c r="D3" s="147" t="s">
        <v>27</v>
      </c>
      <c r="E3" s="147" t="s">
        <v>28</v>
      </c>
      <c r="F3" s="147" t="s">
        <v>29</v>
      </c>
      <c r="G3" s="147" t="s">
        <v>30</v>
      </c>
      <c r="H3" s="147" t="s">
        <v>31</v>
      </c>
      <c r="I3" s="147" t="s">
        <v>32</v>
      </c>
      <c r="J3" s="147" t="s">
        <v>33</v>
      </c>
      <c r="K3" s="147" t="s">
        <v>34</v>
      </c>
      <c r="L3" s="147" t="s">
        <v>35</v>
      </c>
      <c r="M3" s="147" t="s">
        <v>36</v>
      </c>
      <c r="N3" s="148" t="s">
        <v>37</v>
      </c>
      <c r="O3" s="162" t="s">
        <v>38</v>
      </c>
    </row>
    <row r="4" spans="1:15" x14ac:dyDescent="0.25">
      <c r="A4" s="143">
        <v>1</v>
      </c>
      <c r="B4" s="140" t="s">
        <v>39</v>
      </c>
      <c r="C4" s="151">
        <v>231220</v>
      </c>
      <c r="D4" s="152">
        <v>205260</v>
      </c>
      <c r="E4" s="152">
        <v>242300</v>
      </c>
      <c r="F4" s="152">
        <v>226780</v>
      </c>
      <c r="G4" s="152">
        <v>247260</v>
      </c>
      <c r="H4" s="152">
        <v>247400</v>
      </c>
      <c r="I4" s="152">
        <v>254320</v>
      </c>
      <c r="J4" s="152">
        <v>230980</v>
      </c>
      <c r="K4" s="153">
        <v>234180</v>
      </c>
      <c r="L4" s="153">
        <v>220980</v>
      </c>
      <c r="M4" s="153">
        <v>207840</v>
      </c>
      <c r="N4" s="154">
        <v>230380</v>
      </c>
      <c r="O4" s="161">
        <f>SUM(Tabla12[[#This Row],[Gener]:[Desembre]])</f>
        <v>2778900</v>
      </c>
    </row>
    <row r="5" spans="1:15" x14ac:dyDescent="0.25">
      <c r="A5" s="144">
        <v>2</v>
      </c>
      <c r="B5" s="140" t="s">
        <v>0</v>
      </c>
      <c r="C5" s="155"/>
      <c r="D5" s="109"/>
      <c r="E5" s="109"/>
      <c r="F5" s="109"/>
      <c r="G5" s="109"/>
      <c r="H5" s="109"/>
      <c r="I5" s="109"/>
      <c r="J5" s="109"/>
      <c r="K5" s="81"/>
      <c r="L5" s="81">
        <v>0</v>
      </c>
      <c r="M5" s="81"/>
      <c r="N5" s="156"/>
      <c r="O5" s="149">
        <v>0</v>
      </c>
    </row>
    <row r="6" spans="1:15" x14ac:dyDescent="0.25">
      <c r="A6" s="144">
        <v>3</v>
      </c>
      <c r="B6" s="140" t="s">
        <v>1</v>
      </c>
      <c r="C6" s="155"/>
      <c r="D6" s="109"/>
      <c r="E6" s="109"/>
      <c r="F6" s="109"/>
      <c r="G6" s="109"/>
      <c r="H6" s="109"/>
      <c r="I6" s="109"/>
      <c r="J6" s="109"/>
      <c r="K6" s="81"/>
      <c r="L6" s="81">
        <v>0</v>
      </c>
      <c r="M6" s="81"/>
      <c r="N6" s="156"/>
      <c r="O6" s="149">
        <v>0</v>
      </c>
    </row>
    <row r="7" spans="1:15" x14ac:dyDescent="0.25">
      <c r="A7" s="144">
        <v>4</v>
      </c>
      <c r="B7" s="140" t="s">
        <v>2</v>
      </c>
      <c r="C7" s="155">
        <v>9599</v>
      </c>
      <c r="D7" s="109">
        <v>8872.23</v>
      </c>
      <c r="E7" s="109">
        <v>12281</v>
      </c>
      <c r="F7" s="109">
        <v>11770</v>
      </c>
      <c r="G7" s="109">
        <v>13027</v>
      </c>
      <c r="H7" s="109">
        <v>14842</v>
      </c>
      <c r="I7" s="109">
        <v>13424</v>
      </c>
      <c r="J7" s="109">
        <v>15941</v>
      </c>
      <c r="K7" s="81">
        <v>11505</v>
      </c>
      <c r="L7" s="81">
        <v>13754</v>
      </c>
      <c r="M7" s="81">
        <v>13068</v>
      </c>
      <c r="N7" s="156">
        <v>13616</v>
      </c>
      <c r="O7" s="149">
        <f>SUM(Tabla12[[#This Row],[Gener]:[Desembre]])</f>
        <v>151699.22999999998</v>
      </c>
    </row>
    <row r="8" spans="1:15" x14ac:dyDescent="0.25">
      <c r="A8" s="144">
        <v>5</v>
      </c>
      <c r="B8" s="140" t="s">
        <v>3</v>
      </c>
      <c r="C8" s="155"/>
      <c r="D8" s="109"/>
      <c r="E8" s="109"/>
      <c r="F8" s="109"/>
      <c r="G8" s="109"/>
      <c r="H8" s="109"/>
      <c r="I8" s="109"/>
      <c r="J8" s="109"/>
      <c r="K8" s="81"/>
      <c r="L8" s="81">
        <v>0</v>
      </c>
      <c r="M8" s="81"/>
      <c r="N8" s="156"/>
      <c r="O8" s="149">
        <v>0</v>
      </c>
    </row>
    <row r="9" spans="1:15" x14ac:dyDescent="0.25">
      <c r="A9" s="144">
        <v>6</v>
      </c>
      <c r="B9" s="140" t="s">
        <v>4</v>
      </c>
      <c r="C9" s="155">
        <v>380260</v>
      </c>
      <c r="D9" s="109">
        <v>341400</v>
      </c>
      <c r="E9" s="109">
        <v>392040</v>
      </c>
      <c r="F9" s="109">
        <v>369220</v>
      </c>
      <c r="G9" s="109">
        <v>406320</v>
      </c>
      <c r="H9" s="109">
        <v>395880</v>
      </c>
      <c r="I9" s="109">
        <v>388600</v>
      </c>
      <c r="J9" s="109">
        <v>345020</v>
      </c>
      <c r="K9" s="81">
        <v>364520</v>
      </c>
      <c r="L9" s="81">
        <v>404320</v>
      </c>
      <c r="M9" s="81">
        <v>402500</v>
      </c>
      <c r="N9" s="156">
        <v>419220</v>
      </c>
      <c r="O9" s="149">
        <f>SUM(Tabla12[[#This Row],[Gener]:[Desembre]])</f>
        <v>4609300</v>
      </c>
    </row>
    <row r="10" spans="1:15" x14ac:dyDescent="0.25">
      <c r="A10" s="144">
        <v>8</v>
      </c>
      <c r="B10" s="140" t="s">
        <v>7</v>
      </c>
      <c r="C10" s="155">
        <v>11955</v>
      </c>
      <c r="D10" s="109">
        <v>10486.62</v>
      </c>
      <c r="E10" s="109">
        <v>14321</v>
      </c>
      <c r="F10" s="109">
        <v>13850</v>
      </c>
      <c r="G10" s="109">
        <v>15329</v>
      </c>
      <c r="H10" s="109">
        <v>17336</v>
      </c>
      <c r="I10" s="109">
        <v>15792</v>
      </c>
      <c r="J10" s="109">
        <v>18752</v>
      </c>
      <c r="K10" s="81">
        <v>13536</v>
      </c>
      <c r="L10" s="81">
        <v>16184</v>
      </c>
      <c r="M10" s="81">
        <v>15493</v>
      </c>
      <c r="N10" s="156">
        <v>12080</v>
      </c>
      <c r="O10" s="149">
        <f>SUM(Tabla12[[#This Row],[Gener]:[Desembre]])</f>
        <v>175114.62</v>
      </c>
    </row>
    <row r="11" spans="1:15" x14ac:dyDescent="0.25">
      <c r="A11" s="144">
        <v>9</v>
      </c>
      <c r="B11" s="140" t="s">
        <v>40</v>
      </c>
      <c r="C11" s="155"/>
      <c r="D11" s="109"/>
      <c r="E11" s="109"/>
      <c r="F11" s="109"/>
      <c r="G11" s="109"/>
      <c r="H11" s="109"/>
      <c r="I11" s="109"/>
      <c r="J11" s="109"/>
      <c r="K11" s="81"/>
      <c r="L11" s="81">
        <v>0</v>
      </c>
      <c r="M11" s="81"/>
      <c r="N11" s="156"/>
      <c r="O11" s="149">
        <v>0</v>
      </c>
    </row>
    <row r="12" spans="1:15" x14ac:dyDescent="0.25">
      <c r="A12" s="144">
        <v>10</v>
      </c>
      <c r="B12" s="140" t="s">
        <v>41</v>
      </c>
      <c r="C12" s="155"/>
      <c r="D12" s="109"/>
      <c r="E12" s="109"/>
      <c r="F12" s="109"/>
      <c r="G12" s="109"/>
      <c r="H12" s="109"/>
      <c r="I12" s="109"/>
      <c r="J12" s="109"/>
      <c r="K12" s="81"/>
      <c r="L12" s="81">
        <v>0</v>
      </c>
      <c r="M12" s="81"/>
      <c r="N12" s="156"/>
      <c r="O12" s="149">
        <v>0</v>
      </c>
    </row>
    <row r="13" spans="1:15" x14ac:dyDescent="0.25">
      <c r="A13" s="144">
        <v>11</v>
      </c>
      <c r="B13" s="140" t="s">
        <v>9</v>
      </c>
      <c r="C13" s="155"/>
      <c r="D13" s="109"/>
      <c r="E13" s="109"/>
      <c r="F13" s="109"/>
      <c r="G13" s="109"/>
      <c r="H13" s="109"/>
      <c r="I13" s="109"/>
      <c r="J13" s="109"/>
      <c r="K13" s="81"/>
      <c r="L13" s="81">
        <v>0</v>
      </c>
      <c r="M13" s="81"/>
      <c r="N13" s="156"/>
      <c r="O13" s="149">
        <v>0</v>
      </c>
    </row>
    <row r="14" spans="1:15" x14ac:dyDescent="0.25">
      <c r="A14" s="144">
        <v>12</v>
      </c>
      <c r="B14" s="140" t="s">
        <v>10</v>
      </c>
      <c r="C14" s="155"/>
      <c r="D14" s="109"/>
      <c r="E14" s="109"/>
      <c r="F14" s="109"/>
      <c r="G14" s="109"/>
      <c r="H14" s="109"/>
      <c r="I14" s="109"/>
      <c r="J14" s="109"/>
      <c r="K14" s="81"/>
      <c r="L14" s="81">
        <v>0</v>
      </c>
      <c r="M14" s="81"/>
      <c r="N14" s="156"/>
      <c r="O14" s="149">
        <v>0</v>
      </c>
    </row>
    <row r="15" spans="1:15" x14ac:dyDescent="0.25">
      <c r="A15" s="144">
        <v>13</v>
      </c>
      <c r="B15" s="140" t="s">
        <v>42</v>
      </c>
      <c r="C15" s="155"/>
      <c r="D15" s="109"/>
      <c r="E15" s="109"/>
      <c r="F15" s="109"/>
      <c r="G15" s="109"/>
      <c r="H15" s="109"/>
      <c r="I15" s="109"/>
      <c r="J15" s="109"/>
      <c r="K15" s="81"/>
      <c r="L15" s="81">
        <v>0</v>
      </c>
      <c r="M15" s="81"/>
      <c r="N15" s="156"/>
      <c r="O15" s="149">
        <v>0</v>
      </c>
    </row>
    <row r="16" spans="1:15" x14ac:dyDescent="0.25">
      <c r="A16" s="144">
        <v>14</v>
      </c>
      <c r="B16" s="140" t="s">
        <v>11</v>
      </c>
      <c r="C16" s="155"/>
      <c r="D16" s="109"/>
      <c r="E16" s="109"/>
      <c r="F16" s="109"/>
      <c r="G16" s="109"/>
      <c r="H16" s="109"/>
      <c r="I16" s="109"/>
      <c r="J16" s="109"/>
      <c r="K16" s="81"/>
      <c r="L16" s="81">
        <v>0</v>
      </c>
      <c r="M16" s="81"/>
      <c r="N16" s="156"/>
      <c r="O16" s="149">
        <v>0</v>
      </c>
    </row>
    <row r="17" spans="1:15" x14ac:dyDescent="0.25">
      <c r="A17" s="144">
        <v>15</v>
      </c>
      <c r="B17" s="140" t="s">
        <v>12</v>
      </c>
      <c r="C17" s="155"/>
      <c r="D17" s="109"/>
      <c r="E17" s="109"/>
      <c r="F17" s="109"/>
      <c r="G17" s="109"/>
      <c r="H17" s="109"/>
      <c r="I17" s="109"/>
      <c r="J17" s="109"/>
      <c r="K17" s="81"/>
      <c r="L17" s="81">
        <v>0</v>
      </c>
      <c r="M17" s="81"/>
      <c r="N17" s="156"/>
      <c r="O17" s="149">
        <v>0</v>
      </c>
    </row>
    <row r="18" spans="1:15" x14ac:dyDescent="0.25">
      <c r="A18" s="144">
        <v>16</v>
      </c>
      <c r="B18" s="140" t="s">
        <v>13</v>
      </c>
      <c r="C18" s="155"/>
      <c r="D18" s="109"/>
      <c r="E18" s="109"/>
      <c r="F18" s="109"/>
      <c r="G18" s="109"/>
      <c r="H18" s="109"/>
      <c r="I18" s="109"/>
      <c r="J18" s="109"/>
      <c r="K18" s="81"/>
      <c r="L18" s="81">
        <v>0</v>
      </c>
      <c r="M18" s="81"/>
      <c r="N18" s="156"/>
      <c r="O18" s="149">
        <v>0</v>
      </c>
    </row>
    <row r="19" spans="1:15" x14ac:dyDescent="0.25">
      <c r="A19" s="144">
        <v>17</v>
      </c>
      <c r="B19" s="140" t="s">
        <v>14</v>
      </c>
      <c r="C19" s="155">
        <v>34140</v>
      </c>
      <c r="D19" s="109">
        <v>33920</v>
      </c>
      <c r="E19" s="109">
        <v>39720</v>
      </c>
      <c r="F19" s="109">
        <v>34280</v>
      </c>
      <c r="G19" s="109">
        <v>39740</v>
      </c>
      <c r="H19" s="109">
        <v>35540</v>
      </c>
      <c r="I19" s="109">
        <v>35760</v>
      </c>
      <c r="J19" s="109">
        <v>36740</v>
      </c>
      <c r="K19" s="81">
        <v>35660</v>
      </c>
      <c r="L19" s="81">
        <v>33600</v>
      </c>
      <c r="M19" s="81">
        <v>39380</v>
      </c>
      <c r="N19" s="156">
        <v>35500</v>
      </c>
      <c r="O19" s="149">
        <f>SUM(Tabla12[[#This Row],[Gener]:[Desembre]])</f>
        <v>433980</v>
      </c>
    </row>
    <row r="20" spans="1:15" x14ac:dyDescent="0.25">
      <c r="A20" s="144">
        <v>18</v>
      </c>
      <c r="B20" s="140" t="s">
        <v>15</v>
      </c>
      <c r="C20" s="155"/>
      <c r="D20" s="109"/>
      <c r="E20" s="109"/>
      <c r="F20" s="109"/>
      <c r="G20" s="109"/>
      <c r="H20" s="109"/>
      <c r="I20" s="109"/>
      <c r="J20" s="109"/>
      <c r="K20" s="81"/>
      <c r="L20" s="81">
        <v>0</v>
      </c>
      <c r="M20" s="81"/>
      <c r="N20" s="156"/>
      <c r="O20" s="149">
        <v>0</v>
      </c>
    </row>
    <row r="21" spans="1:15" x14ac:dyDescent="0.25">
      <c r="A21" s="144">
        <v>19</v>
      </c>
      <c r="B21" s="140" t="s">
        <v>16</v>
      </c>
      <c r="C21" s="155">
        <f>5120+170780+500</f>
        <v>176400</v>
      </c>
      <c r="D21" s="109">
        <f>6660+153940</f>
        <v>160600</v>
      </c>
      <c r="E21" s="109">
        <v>184160</v>
      </c>
      <c r="F21" s="109">
        <f>680+172560</f>
        <v>173240</v>
      </c>
      <c r="G21" s="109">
        <f>9800+173900</f>
        <v>183700</v>
      </c>
      <c r="H21" s="109">
        <f>186880</f>
        <v>186880</v>
      </c>
      <c r="I21" s="109">
        <v>180560</v>
      </c>
      <c r="J21" s="109">
        <v>154060</v>
      </c>
      <c r="K21" s="81">
        <v>170920</v>
      </c>
      <c r="L21" s="81">
        <v>173760</v>
      </c>
      <c r="M21" s="81">
        <v>169200</v>
      </c>
      <c r="N21" s="156">
        <v>181200</v>
      </c>
      <c r="O21" s="149">
        <f>SUM(Tabla12[[#This Row],[Gener]:[Desembre]])</f>
        <v>2094680</v>
      </c>
    </row>
    <row r="22" spans="1:15" x14ac:dyDescent="0.25">
      <c r="A22" s="144">
        <v>20</v>
      </c>
      <c r="B22" s="140" t="s">
        <v>17</v>
      </c>
      <c r="C22" s="155"/>
      <c r="D22" s="109"/>
      <c r="E22" s="109"/>
      <c r="F22" s="109"/>
      <c r="G22" s="109"/>
      <c r="H22" s="109"/>
      <c r="I22" s="109"/>
      <c r="J22" s="109"/>
      <c r="K22" s="81"/>
      <c r="L22" s="81">
        <v>0</v>
      </c>
      <c r="M22" s="81"/>
      <c r="N22" s="156"/>
      <c r="O22" s="149">
        <v>0</v>
      </c>
    </row>
    <row r="23" spans="1:15" x14ac:dyDescent="0.25">
      <c r="A23" s="144">
        <v>21</v>
      </c>
      <c r="B23" s="140" t="s">
        <v>18</v>
      </c>
      <c r="C23" s="155">
        <v>8016.86</v>
      </c>
      <c r="D23" s="109">
        <v>6109.39</v>
      </c>
      <c r="E23" s="109">
        <v>8415.9</v>
      </c>
      <c r="F23" s="109">
        <v>8376.39</v>
      </c>
      <c r="G23" s="109">
        <f>8835.1</f>
        <v>8835.1</v>
      </c>
      <c r="H23" s="109">
        <v>8302.41</v>
      </c>
      <c r="I23" s="109">
        <v>10195.32</v>
      </c>
      <c r="J23" s="109">
        <v>9288.1</v>
      </c>
      <c r="K23" s="81">
        <v>6731.58</v>
      </c>
      <c r="L23" s="81">
        <v>7906.67</v>
      </c>
      <c r="M23" s="81">
        <v>7428.22</v>
      </c>
      <c r="N23" s="156">
        <v>6468</v>
      </c>
      <c r="O23" s="149">
        <f>SUM(Tabla12[[#This Row],[Gener]:[Desembre]])</f>
        <v>96073.94</v>
      </c>
    </row>
    <row r="24" spans="1:15" x14ac:dyDescent="0.25">
      <c r="A24" s="144">
        <v>22</v>
      </c>
      <c r="B24" s="140" t="s">
        <v>19</v>
      </c>
      <c r="C24" s="155"/>
      <c r="D24" s="109"/>
      <c r="E24" s="109"/>
      <c r="F24" s="109"/>
      <c r="G24" s="109"/>
      <c r="H24" s="109"/>
      <c r="I24" s="109"/>
      <c r="J24" s="109"/>
      <c r="K24" s="81"/>
      <c r="L24" s="81">
        <v>0</v>
      </c>
      <c r="M24" s="81"/>
      <c r="N24" s="156"/>
      <c r="O24" s="149">
        <f>SUM(Tabla12[[#This Row],[Gener]:[Desembre]])</f>
        <v>0</v>
      </c>
    </row>
    <row r="25" spans="1:15" x14ac:dyDescent="0.25">
      <c r="A25" s="144">
        <v>23</v>
      </c>
      <c r="B25" s="140" t="s">
        <v>43</v>
      </c>
      <c r="C25" s="155"/>
      <c r="D25" s="109"/>
      <c r="E25" s="109"/>
      <c r="F25" s="109"/>
      <c r="G25" s="109"/>
      <c r="H25" s="109"/>
      <c r="I25" s="109"/>
      <c r="J25" s="109"/>
      <c r="K25" s="81"/>
      <c r="L25" s="81">
        <v>0</v>
      </c>
      <c r="M25" s="81"/>
      <c r="N25" s="156"/>
      <c r="O25" s="149">
        <v>0</v>
      </c>
    </row>
    <row r="26" spans="1:15" x14ac:dyDescent="0.25">
      <c r="A26" s="144">
        <v>24</v>
      </c>
      <c r="B26" s="140" t="s">
        <v>44</v>
      </c>
      <c r="C26" s="155">
        <v>52680</v>
      </c>
      <c r="D26" s="109">
        <v>47860</v>
      </c>
      <c r="E26" s="109">
        <v>59580</v>
      </c>
      <c r="F26" s="109">
        <f>47940+1320</f>
        <v>49260</v>
      </c>
      <c r="G26" s="109">
        <f>36420+20780</f>
        <v>57200</v>
      </c>
      <c r="H26" s="109">
        <v>54680</v>
      </c>
      <c r="I26" s="109">
        <v>56080</v>
      </c>
      <c r="J26" s="109">
        <v>55020</v>
      </c>
      <c r="K26" s="81">
        <v>52560</v>
      </c>
      <c r="L26" s="81">
        <v>54780</v>
      </c>
      <c r="M26" s="81">
        <v>61280</v>
      </c>
      <c r="N26" s="156">
        <v>57100</v>
      </c>
      <c r="O26" s="149">
        <f>SUM(Tabla12[[#This Row],[Gener]:[Desembre]])</f>
        <v>658080</v>
      </c>
    </row>
    <row r="27" spans="1:15" x14ac:dyDescent="0.25">
      <c r="A27" s="144">
        <v>25</v>
      </c>
      <c r="B27" s="140" t="s">
        <v>20</v>
      </c>
      <c r="C27" s="155"/>
      <c r="D27" s="109"/>
      <c r="E27" s="109"/>
      <c r="F27" s="109"/>
      <c r="G27" s="109"/>
      <c r="H27" s="109"/>
      <c r="I27" s="109"/>
      <c r="J27" s="109"/>
      <c r="K27" s="81"/>
      <c r="L27" s="81">
        <v>0</v>
      </c>
      <c r="M27" s="81"/>
      <c r="N27" s="156"/>
      <c r="O27" s="149">
        <v>0</v>
      </c>
    </row>
    <row r="28" spans="1:15" x14ac:dyDescent="0.25">
      <c r="A28" s="144">
        <v>26</v>
      </c>
      <c r="B28" s="140" t="s">
        <v>45</v>
      </c>
      <c r="C28" s="155">
        <v>9920</v>
      </c>
      <c r="D28" s="109">
        <v>8200</v>
      </c>
      <c r="E28" s="109">
        <v>8580</v>
      </c>
      <c r="F28" s="109">
        <v>8680</v>
      </c>
      <c r="G28" s="109">
        <v>12360</v>
      </c>
      <c r="H28" s="109">
        <v>9180</v>
      </c>
      <c r="I28" s="109">
        <v>10740</v>
      </c>
      <c r="J28" s="109">
        <v>8400</v>
      </c>
      <c r="K28" s="81">
        <v>7960</v>
      </c>
      <c r="L28" s="81">
        <v>12780</v>
      </c>
      <c r="M28" s="81">
        <v>9700</v>
      </c>
      <c r="N28" s="156">
        <v>8180</v>
      </c>
      <c r="O28" s="149">
        <f>SUM(Tabla12[[#This Row],[Gener]:[Desembre]])</f>
        <v>114680</v>
      </c>
    </row>
    <row r="29" spans="1:15" x14ac:dyDescent="0.25">
      <c r="A29" s="144">
        <v>27</v>
      </c>
      <c r="B29" s="140" t="s">
        <v>46</v>
      </c>
      <c r="C29" s="155"/>
      <c r="D29" s="109"/>
      <c r="E29" s="109"/>
      <c r="F29" s="109"/>
      <c r="G29" s="109"/>
      <c r="H29" s="109"/>
      <c r="I29" s="109"/>
      <c r="J29" s="109"/>
      <c r="K29" s="81"/>
      <c r="L29" s="81">
        <v>0</v>
      </c>
      <c r="M29" s="81"/>
      <c r="N29" s="156"/>
      <c r="O29" s="149">
        <f>SUM(Tabla12[[#This Row],[Gener]:[Desembre]])</f>
        <v>0</v>
      </c>
    </row>
    <row r="30" spans="1:15" x14ac:dyDescent="0.25">
      <c r="A30" s="144">
        <v>28</v>
      </c>
      <c r="B30" s="140" t="s">
        <v>47</v>
      </c>
      <c r="C30" s="155"/>
      <c r="D30" s="109"/>
      <c r="E30" s="109">
        <v>18500</v>
      </c>
      <c r="F30" s="109">
        <v>27200</v>
      </c>
      <c r="G30" s="109">
        <v>47520</v>
      </c>
      <c r="H30" s="109">
        <v>41800</v>
      </c>
      <c r="I30" s="109">
        <v>34180</v>
      </c>
      <c r="J30" s="109">
        <v>40840</v>
      </c>
      <c r="K30" s="81">
        <v>28840</v>
      </c>
      <c r="L30" s="81">
        <v>281580</v>
      </c>
      <c r="M30" s="81">
        <v>271860</v>
      </c>
      <c r="N30" s="156">
        <v>269680</v>
      </c>
      <c r="O30" s="149">
        <v>0</v>
      </c>
    </row>
    <row r="31" spans="1:15" x14ac:dyDescent="0.25">
      <c r="A31" s="144">
        <v>29</v>
      </c>
      <c r="B31" s="140" t="s">
        <v>48</v>
      </c>
      <c r="C31" s="155">
        <v>709.14</v>
      </c>
      <c r="D31" s="109">
        <v>571.77</v>
      </c>
      <c r="E31" s="109">
        <v>782.1</v>
      </c>
      <c r="F31" s="109">
        <v>621.61</v>
      </c>
      <c r="G31" s="109">
        <v>1128.9000000000001</v>
      </c>
      <c r="H31" s="109">
        <v>2859.59</v>
      </c>
      <c r="I31" s="109">
        <v>68.680000000000007</v>
      </c>
      <c r="J31" s="109">
        <v>2898.9</v>
      </c>
      <c r="K31" s="81">
        <v>2067.42</v>
      </c>
      <c r="L31" s="81">
        <v>2615.33</v>
      </c>
      <c r="M31" s="81">
        <v>2030.78</v>
      </c>
      <c r="N31" s="156">
        <v>2556</v>
      </c>
      <c r="O31" s="149">
        <f>SUM(Tabla12[[#This Row],[Gener]:[Desembre]])</f>
        <v>18910.22</v>
      </c>
    </row>
    <row r="32" spans="1:15" x14ac:dyDescent="0.25">
      <c r="A32" s="144">
        <v>30</v>
      </c>
      <c r="B32" s="140" t="s">
        <v>50</v>
      </c>
      <c r="C32" s="155">
        <v>29080</v>
      </c>
      <c r="D32" s="109">
        <v>27680</v>
      </c>
      <c r="E32" s="109">
        <v>28920</v>
      </c>
      <c r="F32" s="109">
        <v>34320</v>
      </c>
      <c r="G32" s="109">
        <v>29120</v>
      </c>
      <c r="H32" s="109">
        <v>26520</v>
      </c>
      <c r="I32" s="109">
        <v>37280</v>
      </c>
      <c r="J32" s="109">
        <v>26600</v>
      </c>
      <c r="K32" s="81">
        <v>34160</v>
      </c>
      <c r="L32" s="81">
        <v>27580</v>
      </c>
      <c r="M32" s="81">
        <v>30220</v>
      </c>
      <c r="N32" s="156">
        <v>35660</v>
      </c>
      <c r="O32" s="149">
        <f>SUM(Tabla12[[#This Row],[Gener]:[Desembre]])</f>
        <v>367140</v>
      </c>
    </row>
    <row r="33" spans="1:17" x14ac:dyDescent="0.25">
      <c r="A33" s="144">
        <v>31</v>
      </c>
      <c r="B33" s="140" t="s">
        <v>51</v>
      </c>
      <c r="C33" s="155">
        <v>4580</v>
      </c>
      <c r="D33" s="109">
        <v>4680</v>
      </c>
      <c r="E33" s="109">
        <v>5300</v>
      </c>
      <c r="F33" s="109">
        <v>4660</v>
      </c>
      <c r="G33" s="109">
        <v>5760</v>
      </c>
      <c r="H33" s="109">
        <v>4680</v>
      </c>
      <c r="I33" s="109">
        <v>5900</v>
      </c>
      <c r="J33" s="109">
        <v>4760</v>
      </c>
      <c r="K33" s="81">
        <v>4520</v>
      </c>
      <c r="L33" s="81">
        <v>5600</v>
      </c>
      <c r="M33" s="81">
        <v>5920</v>
      </c>
      <c r="N33" s="156">
        <v>5360</v>
      </c>
      <c r="O33" s="149">
        <f>SUM(Tabla12[[#This Row],[Gener]:[Desembre]])</f>
        <v>61720</v>
      </c>
    </row>
    <row r="34" spans="1:17" x14ac:dyDescent="0.25">
      <c r="A34" s="144">
        <v>32</v>
      </c>
      <c r="B34" s="140" t="s">
        <v>52</v>
      </c>
      <c r="C34" s="155"/>
      <c r="D34" s="109"/>
      <c r="E34" s="109"/>
      <c r="F34" s="109"/>
      <c r="G34" s="109"/>
      <c r="H34" s="109"/>
      <c r="I34" s="109"/>
      <c r="J34" s="109"/>
      <c r="K34" s="81"/>
      <c r="L34" s="81">
        <v>0</v>
      </c>
      <c r="M34" s="81"/>
      <c r="N34" s="156"/>
      <c r="O34" s="149">
        <v>0</v>
      </c>
    </row>
    <row r="35" spans="1:17" x14ac:dyDescent="0.25">
      <c r="A35" s="144">
        <v>33</v>
      </c>
      <c r="B35" s="140" t="s">
        <v>21</v>
      </c>
      <c r="C35" s="155"/>
      <c r="D35" s="109"/>
      <c r="E35" s="109"/>
      <c r="F35" s="109"/>
      <c r="G35" s="109"/>
      <c r="H35" s="109"/>
      <c r="I35" s="109"/>
      <c r="J35" s="109"/>
      <c r="K35" s="81"/>
      <c r="L35" s="81">
        <v>0</v>
      </c>
      <c r="M35" s="81"/>
      <c r="N35" s="156"/>
      <c r="O35" s="149">
        <f>SUM(Tabla12[[#This Row],[Gener]:[Desembre]])</f>
        <v>0</v>
      </c>
    </row>
    <row r="36" spans="1:17" x14ac:dyDescent="0.25">
      <c r="A36" s="144">
        <v>34</v>
      </c>
      <c r="B36" s="140" t="s">
        <v>22</v>
      </c>
      <c r="C36" s="155">
        <v>76613.48</v>
      </c>
      <c r="D36" s="109">
        <v>74200</v>
      </c>
      <c r="E36" s="109">
        <v>96500</v>
      </c>
      <c r="F36" s="109">
        <f>85057.45+4900</f>
        <v>89957.45</v>
      </c>
      <c r="G36" s="109">
        <v>100796.92</v>
      </c>
      <c r="H36" s="109">
        <v>93885.15</v>
      </c>
      <c r="I36" s="109">
        <v>92200</v>
      </c>
      <c r="J36" s="109">
        <v>96176.84</v>
      </c>
      <c r="K36" s="81">
        <v>87200</v>
      </c>
      <c r="L36" s="81">
        <v>83600</v>
      </c>
      <c r="M36" s="81">
        <v>89760</v>
      </c>
      <c r="N36" s="156">
        <v>85938</v>
      </c>
      <c r="O36" s="149">
        <f>SUM(Tabla12[[#This Row],[Gener]:[Desembre]])</f>
        <v>1066827.8399999999</v>
      </c>
    </row>
    <row r="37" spans="1:17" x14ac:dyDescent="0.25">
      <c r="A37" s="144">
        <v>35</v>
      </c>
      <c r="B37" s="140" t="s">
        <v>23</v>
      </c>
      <c r="C37" s="155"/>
      <c r="D37" s="109"/>
      <c r="E37" s="109"/>
      <c r="F37" s="109"/>
      <c r="G37" s="109"/>
      <c r="H37" s="109"/>
      <c r="I37" s="109"/>
      <c r="J37" s="109"/>
      <c r="K37" s="81"/>
      <c r="L37" s="81">
        <v>0</v>
      </c>
      <c r="M37" s="81"/>
      <c r="N37" s="156"/>
      <c r="O37" s="149">
        <v>0</v>
      </c>
    </row>
    <row r="38" spans="1:17" x14ac:dyDescent="0.25">
      <c r="A38" s="144">
        <v>36</v>
      </c>
      <c r="B38" s="140" t="s">
        <v>24</v>
      </c>
      <c r="C38" s="155">
        <v>22466.52</v>
      </c>
      <c r="D38" s="109">
        <v>20560</v>
      </c>
      <c r="E38" s="109">
        <v>24160</v>
      </c>
      <c r="F38" s="109">
        <f>20462.55+1340</f>
        <v>21802.55</v>
      </c>
      <c r="G38" s="109">
        <v>24283.08</v>
      </c>
      <c r="H38" s="109">
        <v>26414.85</v>
      </c>
      <c r="I38" s="109">
        <v>24160</v>
      </c>
      <c r="J38" s="109">
        <v>25443.16</v>
      </c>
      <c r="K38" s="81">
        <v>20720</v>
      </c>
      <c r="L38" s="81">
        <v>20560</v>
      </c>
      <c r="M38" s="81">
        <v>24140</v>
      </c>
      <c r="N38" s="156">
        <v>22402</v>
      </c>
      <c r="O38" s="149">
        <f>SUM(Tabla12[[#This Row],[Gener]:[Desembre]])</f>
        <v>277112.16000000003</v>
      </c>
    </row>
    <row r="39" spans="1:17" x14ac:dyDescent="0.25">
      <c r="A39" s="144">
        <v>37</v>
      </c>
      <c r="B39" s="140" t="s">
        <v>25</v>
      </c>
      <c r="C39" s="155"/>
      <c r="D39" s="109"/>
      <c r="E39" s="109"/>
      <c r="F39" s="109"/>
      <c r="G39" s="109"/>
      <c r="H39" s="109"/>
      <c r="I39" s="109"/>
      <c r="J39" s="109"/>
      <c r="K39" s="81"/>
      <c r="L39" s="81">
        <v>0</v>
      </c>
      <c r="M39" s="81"/>
      <c r="N39" s="156"/>
      <c r="O39" s="149">
        <v>0</v>
      </c>
    </row>
    <row r="40" spans="1:17" x14ac:dyDescent="0.25">
      <c r="A40" s="144">
        <v>38</v>
      </c>
      <c r="B40" s="140" t="s">
        <v>5</v>
      </c>
      <c r="C40" s="155"/>
      <c r="D40" s="109"/>
      <c r="E40" s="109"/>
      <c r="F40" s="109"/>
      <c r="G40" s="109"/>
      <c r="H40" s="109"/>
      <c r="I40" s="109"/>
      <c r="J40" s="109"/>
      <c r="K40" s="81"/>
      <c r="L40" s="81">
        <v>0</v>
      </c>
      <c r="M40" s="81"/>
      <c r="N40" s="156"/>
      <c r="O40" s="149">
        <v>0</v>
      </c>
    </row>
    <row r="41" spans="1:17" x14ac:dyDescent="0.25">
      <c r="A41" s="144">
        <v>39</v>
      </c>
      <c r="B41" s="140" t="s">
        <v>6</v>
      </c>
      <c r="C41" s="155">
        <v>34780</v>
      </c>
      <c r="D41" s="109">
        <v>33960</v>
      </c>
      <c r="E41" s="109">
        <v>40080</v>
      </c>
      <c r="F41" s="109">
        <f>2920+43280</f>
        <v>46200</v>
      </c>
      <c r="G41" s="109">
        <v>44900</v>
      </c>
      <c r="H41" s="109">
        <v>39940</v>
      </c>
      <c r="I41" s="109">
        <v>45640</v>
      </c>
      <c r="J41" s="109">
        <v>53200</v>
      </c>
      <c r="K41" s="81">
        <v>41180</v>
      </c>
      <c r="L41" s="81">
        <v>39940</v>
      </c>
      <c r="M41" s="81">
        <v>40640</v>
      </c>
      <c r="N41" s="156">
        <v>42560</v>
      </c>
      <c r="O41" s="149">
        <f>SUM(Tabla12[[#This Row],[Gener]:[Desembre]])</f>
        <v>503020</v>
      </c>
    </row>
    <row r="42" spans="1:17" x14ac:dyDescent="0.25">
      <c r="A42" s="144">
        <v>40</v>
      </c>
      <c r="B42" s="140" t="s">
        <v>8</v>
      </c>
      <c r="C42" s="155"/>
      <c r="D42" s="109"/>
      <c r="E42" s="109"/>
      <c r="F42" s="109"/>
      <c r="G42" s="109"/>
      <c r="H42" s="109"/>
      <c r="I42" s="109"/>
      <c r="J42" s="109"/>
      <c r="K42" s="81"/>
      <c r="L42" s="81">
        <v>0</v>
      </c>
      <c r="M42" s="81"/>
      <c r="N42" s="156"/>
      <c r="O42" s="149">
        <v>0</v>
      </c>
    </row>
    <row r="43" spans="1:17" ht="15.75" thickBot="1" x14ac:dyDescent="0.3">
      <c r="A43" s="145">
        <v>41</v>
      </c>
      <c r="B43" s="141" t="s">
        <v>49</v>
      </c>
      <c r="C43" s="157"/>
      <c r="D43" s="158"/>
      <c r="E43" s="158"/>
      <c r="F43" s="158"/>
      <c r="G43" s="158"/>
      <c r="H43" s="158"/>
      <c r="I43" s="158"/>
      <c r="J43" s="158"/>
      <c r="K43" s="159"/>
      <c r="L43" s="159">
        <v>0</v>
      </c>
      <c r="M43" s="159"/>
      <c r="N43" s="160"/>
      <c r="O43" s="150">
        <f>SUM(Tabla12[[#This Row],[Gener]:[Desembre]])</f>
        <v>0</v>
      </c>
    </row>
    <row r="44" spans="1:17" s="4" customFormat="1" ht="15.75" thickBot="1" x14ac:dyDescent="0.3">
      <c r="B44" s="77" t="s">
        <v>71</v>
      </c>
      <c r="C44" s="78">
        <f>SUBTOTAL(109,Tabla12[Gener])</f>
        <v>1082420</v>
      </c>
      <c r="D44" s="79">
        <f>SUBTOTAL(109,Tabla12[Febrer])</f>
        <v>984360.01</v>
      </c>
      <c r="E44" s="79">
        <f>SUBTOTAL(109,Tabla12[Març])</f>
        <v>1175640</v>
      </c>
      <c r="F44" s="79">
        <f>SUBTOTAL(109,Tabla12[Abril])</f>
        <v>1120218</v>
      </c>
      <c r="G44" s="79">
        <f>SUBTOTAL(109,Tabla12[Maig])</f>
        <v>1237280</v>
      </c>
      <c r="H44" s="79">
        <f>SUBTOTAL(109,Tabla12[Juny])</f>
        <v>1206140</v>
      </c>
      <c r="I44" s="79">
        <f>SUBTOTAL(109,Tabla12[Juliol])</f>
        <v>1204900</v>
      </c>
      <c r="J44" s="79">
        <f>SUBTOTAL(109,Tabla12[Agost])</f>
        <v>1124120</v>
      </c>
      <c r="K44" s="79">
        <f>SUBTOTAL(109,Tabla12[Setembre])</f>
        <v>1116260</v>
      </c>
      <c r="L44" s="79">
        <f>SUBTOTAL(109,Tabla12[Octubre])</f>
        <v>1399540</v>
      </c>
      <c r="M44" s="79">
        <f>SUBTOTAL(109,Tabla12[Novembre])</f>
        <v>1390460</v>
      </c>
      <c r="N44" s="79">
        <f>SUBTOTAL(109,Tabla12[Desembre])</f>
        <v>1427900</v>
      </c>
      <c r="O44" s="80">
        <f>SUM(C44:N44)</f>
        <v>14469238.01</v>
      </c>
      <c r="P44" s="3"/>
      <c r="Q44" s="232"/>
    </row>
    <row r="45" spans="1:17" ht="15.75" thickBot="1" x14ac:dyDescent="0.3">
      <c r="B45" s="72" t="s">
        <v>69</v>
      </c>
      <c r="C45" s="73">
        <v>1107820</v>
      </c>
      <c r="D45" s="74">
        <v>987120</v>
      </c>
      <c r="E45" s="74">
        <v>1097660</v>
      </c>
      <c r="F45" s="74">
        <v>1195580</v>
      </c>
      <c r="G45" s="74">
        <v>1236660</v>
      </c>
      <c r="H45" s="74">
        <v>1260060.1000000001</v>
      </c>
      <c r="I45" s="74">
        <v>1224420</v>
      </c>
      <c r="J45" s="74">
        <v>1162340</v>
      </c>
      <c r="K45" s="74">
        <v>1103480</v>
      </c>
      <c r="L45" s="74">
        <v>1114620</v>
      </c>
      <c r="M45" s="74">
        <v>1091280</v>
      </c>
      <c r="N45" s="75">
        <v>1113780</v>
      </c>
      <c r="O45" s="76">
        <f>SUM(C45:N45)</f>
        <v>13694820.1</v>
      </c>
    </row>
    <row r="46" spans="1:17" ht="15.75" thickBot="1" x14ac:dyDescent="0.3">
      <c r="B46" s="88" t="s">
        <v>58</v>
      </c>
      <c r="C46" s="89">
        <f t="shared" ref="C46:N46" si="0">(C44/C45)-1</f>
        <v>-2.2927912476756185E-2</v>
      </c>
      <c r="D46" s="89">
        <f t="shared" si="0"/>
        <v>-2.7960025123592303E-3</v>
      </c>
      <c r="E46" s="89">
        <f t="shared" si="0"/>
        <v>7.1042034874186921E-2</v>
      </c>
      <c r="F46" s="89">
        <f t="shared" si="0"/>
        <v>-6.3033841315512151E-2</v>
      </c>
      <c r="G46" s="89">
        <f t="shared" si="0"/>
        <v>5.0135041159249383E-4</v>
      </c>
      <c r="H46" s="89">
        <f t="shared" si="0"/>
        <v>-4.2791689063085281E-2</v>
      </c>
      <c r="I46" s="89">
        <f t="shared" si="0"/>
        <v>-1.5942242041129706E-2</v>
      </c>
      <c r="J46" s="89">
        <f t="shared" si="0"/>
        <v>-3.2881945041898231E-2</v>
      </c>
      <c r="K46" s="89">
        <f t="shared" si="0"/>
        <v>1.1581542030666636E-2</v>
      </c>
      <c r="L46" s="89">
        <f t="shared" si="0"/>
        <v>0.25562074967253423</v>
      </c>
      <c r="M46" s="89">
        <f t="shared" si="0"/>
        <v>0.27415512059233205</v>
      </c>
      <c r="N46" s="89">
        <f t="shared" si="0"/>
        <v>0.2820305625886621</v>
      </c>
      <c r="O46" s="224">
        <f>(O44/O45)-1</f>
        <v>5.6548235343376385E-2</v>
      </c>
    </row>
    <row r="47" spans="1:17" x14ac:dyDescent="0.2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55" spans="16:16" x14ac:dyDescent="0.25">
      <c r="P55" s="25"/>
    </row>
  </sheetData>
  <sheetProtection password="C3D2" sheet="1" objects="1" scenarios="1"/>
  <pageMargins left="0.19685039370078741" right="0.23622047244094491" top="0.52" bottom="0.2" header="0.19685039370078741" footer="0.16"/>
  <pageSetup paperSize="9" scale="77" orientation="landscape" copies="5" r:id="rId1"/>
  <headerFooter>
    <oddHeader>&amp;L&amp;"Calibri,Normal"&amp;G&amp;C&amp;F&amp;R&amp;"Calibri,Normal"&amp;G</oddHeader>
    <oddFooter>&amp;L&amp;"Calibri,Normal"&amp;D&amp;C&amp;A&amp;R&amp;"Calibri,Normal"&amp;P de &amp;N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8"/>
  <sheetViews>
    <sheetView showZeros="0" topLeftCell="B1" zoomScale="85" zoomScaleNormal="85" workbookViewId="0">
      <pane xSplit="1" ySplit="3" topLeftCell="C4" activePane="bottomRight" state="frozen"/>
      <selection activeCell="B45" sqref="B45"/>
      <selection pane="topRight" activeCell="B45" sqref="B45"/>
      <selection pane="bottomLeft" activeCell="B45" sqref="B45"/>
      <selection pane="bottomRight" activeCell="P53" sqref="P53"/>
    </sheetView>
  </sheetViews>
  <sheetFormatPr baseColWidth="10" defaultColWidth="11.42578125" defaultRowHeight="15" x14ac:dyDescent="0.25"/>
  <cols>
    <col min="1" max="1" width="5.42578125" style="3" bestFit="1" customWidth="1"/>
    <col min="2" max="2" width="26.140625" style="3" bestFit="1" customWidth="1"/>
    <col min="3" max="5" width="11.42578125" style="2"/>
    <col min="6" max="6" width="11.7109375" style="2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96"/>
    <col min="16" max="16384" width="11.42578125" style="3"/>
  </cols>
  <sheetData>
    <row r="1" spans="1:15" ht="15.75" x14ac:dyDescent="0.25">
      <c r="B1" s="1" t="s">
        <v>76</v>
      </c>
    </row>
    <row r="2" spans="1:15" ht="15.75" thickBot="1" x14ac:dyDescent="0.3">
      <c r="C2" s="4" t="s">
        <v>56</v>
      </c>
    </row>
    <row r="3" spans="1:15" ht="15.75" thickBot="1" x14ac:dyDescent="0.3">
      <c r="A3" s="8" t="s">
        <v>59</v>
      </c>
      <c r="B3" s="22" t="s">
        <v>57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7" t="s">
        <v>38</v>
      </c>
    </row>
    <row r="4" spans="1:15" x14ac:dyDescent="0.25">
      <c r="A4" s="136">
        <v>1</v>
      </c>
      <c r="B4" s="26" t="s">
        <v>39</v>
      </c>
      <c r="C4" s="110">
        <v>28960</v>
      </c>
      <c r="D4" s="111">
        <v>28920</v>
      </c>
      <c r="E4" s="111">
        <v>34100</v>
      </c>
      <c r="F4" s="111">
        <v>35860</v>
      </c>
      <c r="G4" s="111">
        <v>40140</v>
      </c>
      <c r="H4" s="111">
        <v>37360</v>
      </c>
      <c r="I4" s="111">
        <v>36340</v>
      </c>
      <c r="J4" s="111">
        <v>31400</v>
      </c>
      <c r="K4" s="111">
        <v>29180</v>
      </c>
      <c r="L4" s="111">
        <v>33660</v>
      </c>
      <c r="M4" s="111">
        <v>27260</v>
      </c>
      <c r="N4" s="112">
        <v>28460</v>
      </c>
      <c r="O4" s="133">
        <f>SUM(Tabla8[[#This Row],[Gener]:[Desembre]])</f>
        <v>391640</v>
      </c>
    </row>
    <row r="5" spans="1:15" x14ac:dyDescent="0.25">
      <c r="A5" s="137">
        <v>2</v>
      </c>
      <c r="B5" s="23" t="s">
        <v>0</v>
      </c>
      <c r="C5" s="113"/>
      <c r="D5" s="114"/>
      <c r="E5" s="114"/>
      <c r="F5" s="114"/>
      <c r="G5" s="114"/>
      <c r="H5" s="114"/>
      <c r="I5" s="114"/>
      <c r="J5" s="114"/>
      <c r="K5" s="114">
        <v>0</v>
      </c>
      <c r="L5" s="114">
        <v>0</v>
      </c>
      <c r="M5" s="114"/>
      <c r="N5" s="115"/>
      <c r="O5" s="134">
        <v>0</v>
      </c>
    </row>
    <row r="6" spans="1:15" x14ac:dyDescent="0.25">
      <c r="A6" s="137">
        <v>3</v>
      </c>
      <c r="B6" s="23" t="s">
        <v>1</v>
      </c>
      <c r="C6" s="113"/>
      <c r="D6" s="114"/>
      <c r="E6" s="114"/>
      <c r="F6" s="114"/>
      <c r="G6" s="114"/>
      <c r="H6" s="114"/>
      <c r="I6" s="114"/>
      <c r="J6" s="114"/>
      <c r="K6" s="114">
        <v>0</v>
      </c>
      <c r="L6" s="114">
        <v>0</v>
      </c>
      <c r="M6" s="114"/>
      <c r="N6" s="115"/>
      <c r="O6" s="134">
        <v>0</v>
      </c>
    </row>
    <row r="7" spans="1:15" x14ac:dyDescent="0.25">
      <c r="A7" s="137">
        <v>4</v>
      </c>
      <c r="B7" s="23" t="s">
        <v>2</v>
      </c>
      <c r="C7" s="113">
        <v>4509.25</v>
      </c>
      <c r="D7" s="114">
        <v>4071.81</v>
      </c>
      <c r="E7" s="114">
        <v>7229.86</v>
      </c>
      <c r="F7" s="114">
        <v>6886.81</v>
      </c>
      <c r="G7" s="114">
        <v>6816.16</v>
      </c>
      <c r="H7" s="114">
        <v>6573.86</v>
      </c>
      <c r="I7" s="114">
        <v>5159.78</v>
      </c>
      <c r="J7" s="114">
        <v>6446.63</v>
      </c>
      <c r="K7" s="114">
        <v>4743.58</v>
      </c>
      <c r="L7" s="114">
        <v>5578.16</v>
      </c>
      <c r="M7" s="114">
        <v>6279.2</v>
      </c>
      <c r="N7" s="115">
        <v>4911</v>
      </c>
      <c r="O7" s="134">
        <f>SUM(Tabla8[[#This Row],[Gener]:[Desembre]])</f>
        <v>69206.099999999991</v>
      </c>
    </row>
    <row r="8" spans="1:15" x14ac:dyDescent="0.25">
      <c r="A8" s="137">
        <v>5</v>
      </c>
      <c r="B8" s="23" t="s">
        <v>3</v>
      </c>
      <c r="C8" s="113"/>
      <c r="D8" s="114"/>
      <c r="E8" s="114"/>
      <c r="F8" s="114"/>
      <c r="G8" s="114"/>
      <c r="H8" s="114"/>
      <c r="I8" s="114"/>
      <c r="J8" s="114"/>
      <c r="K8" s="114">
        <v>0</v>
      </c>
      <c r="L8" s="114">
        <v>0</v>
      </c>
      <c r="M8" s="114"/>
      <c r="N8" s="115"/>
      <c r="O8" s="134">
        <v>0</v>
      </c>
    </row>
    <row r="9" spans="1:15" x14ac:dyDescent="0.25">
      <c r="A9" s="137">
        <v>6</v>
      </c>
      <c r="B9" s="23" t="s">
        <v>4</v>
      </c>
      <c r="C9" s="113">
        <v>73740</v>
      </c>
      <c r="D9" s="114">
        <v>74460</v>
      </c>
      <c r="E9" s="114">
        <v>87300</v>
      </c>
      <c r="F9" s="114">
        <v>87480</v>
      </c>
      <c r="G9" s="114">
        <v>94020</v>
      </c>
      <c r="H9" s="114">
        <v>91600</v>
      </c>
      <c r="I9" s="114">
        <v>86540</v>
      </c>
      <c r="J9" s="114">
        <v>74800</v>
      </c>
      <c r="K9" s="114">
        <v>76980</v>
      </c>
      <c r="L9" s="114">
        <v>77440</v>
      </c>
      <c r="M9" s="114">
        <v>81460</v>
      </c>
      <c r="N9" s="115">
        <v>81400</v>
      </c>
      <c r="O9" s="134">
        <f>SUM(Tabla8[[#This Row],[Gener]:[Desembre]])</f>
        <v>987220</v>
      </c>
    </row>
    <row r="10" spans="1:15" x14ac:dyDescent="0.25">
      <c r="A10" s="137">
        <v>8</v>
      </c>
      <c r="B10" s="23" t="s">
        <v>7</v>
      </c>
      <c r="C10" s="113">
        <v>2924.9</v>
      </c>
      <c r="D10" s="114">
        <v>3171.02</v>
      </c>
      <c r="E10" s="114">
        <v>5684.26</v>
      </c>
      <c r="F10" s="114">
        <v>5832.41</v>
      </c>
      <c r="G10" s="114">
        <v>7150.79</v>
      </c>
      <c r="H10" s="114">
        <v>8632.31</v>
      </c>
      <c r="I10" s="114">
        <v>7743.24</v>
      </c>
      <c r="J10" s="114">
        <v>9763.75</v>
      </c>
      <c r="K10" s="114">
        <v>5737.71</v>
      </c>
      <c r="L10" s="114">
        <v>9024.94</v>
      </c>
      <c r="M10" s="114">
        <v>9613.4500000000007</v>
      </c>
      <c r="N10" s="115">
        <v>8063</v>
      </c>
      <c r="O10" s="134">
        <f>SUM(Tabla8[[#This Row],[Gener]:[Desembre]])</f>
        <v>83341.78</v>
      </c>
    </row>
    <row r="11" spans="1:15" x14ac:dyDescent="0.25">
      <c r="A11" s="137">
        <v>9</v>
      </c>
      <c r="B11" s="107" t="s">
        <v>40</v>
      </c>
      <c r="C11" s="113"/>
      <c r="D11" s="114"/>
      <c r="E11" s="114"/>
      <c r="F11" s="114"/>
      <c r="G11" s="114"/>
      <c r="H11" s="114"/>
      <c r="I11" s="114"/>
      <c r="J11" s="114"/>
      <c r="K11" s="114">
        <v>0</v>
      </c>
      <c r="L11" s="114">
        <v>0</v>
      </c>
      <c r="M11" s="114"/>
      <c r="N11" s="115"/>
      <c r="O11" s="135">
        <v>0</v>
      </c>
    </row>
    <row r="12" spans="1:15" x14ac:dyDescent="0.25">
      <c r="A12" s="137">
        <v>10</v>
      </c>
      <c r="B12" s="23" t="s">
        <v>41</v>
      </c>
      <c r="C12" s="113"/>
      <c r="D12" s="114"/>
      <c r="E12" s="114"/>
      <c r="F12" s="114"/>
      <c r="G12" s="114"/>
      <c r="H12" s="114"/>
      <c r="I12" s="114"/>
      <c r="J12" s="114"/>
      <c r="K12" s="114">
        <v>0</v>
      </c>
      <c r="L12" s="114">
        <v>0</v>
      </c>
      <c r="M12" s="114"/>
      <c r="N12" s="115"/>
      <c r="O12" s="134">
        <v>0</v>
      </c>
    </row>
    <row r="13" spans="1:15" x14ac:dyDescent="0.25">
      <c r="A13" s="137">
        <v>11</v>
      </c>
      <c r="B13" s="23" t="s">
        <v>9</v>
      </c>
      <c r="C13" s="113"/>
      <c r="D13" s="114"/>
      <c r="E13" s="114"/>
      <c r="F13" s="114"/>
      <c r="G13" s="114"/>
      <c r="H13" s="114"/>
      <c r="I13" s="114"/>
      <c r="J13" s="114"/>
      <c r="K13" s="114">
        <v>0</v>
      </c>
      <c r="L13" s="114">
        <v>0</v>
      </c>
      <c r="M13" s="114"/>
      <c r="N13" s="115"/>
      <c r="O13" s="134">
        <v>0</v>
      </c>
    </row>
    <row r="14" spans="1:15" x14ac:dyDescent="0.25">
      <c r="A14" s="137">
        <v>12</v>
      </c>
      <c r="B14" s="23" t="s">
        <v>10</v>
      </c>
      <c r="C14" s="113"/>
      <c r="D14" s="114"/>
      <c r="E14" s="114"/>
      <c r="F14" s="114"/>
      <c r="G14" s="114"/>
      <c r="H14" s="114"/>
      <c r="I14" s="114"/>
      <c r="J14" s="114"/>
      <c r="K14" s="114">
        <v>0</v>
      </c>
      <c r="L14" s="114">
        <v>0</v>
      </c>
      <c r="M14" s="114"/>
      <c r="N14" s="115"/>
      <c r="O14" s="134">
        <v>0</v>
      </c>
    </row>
    <row r="15" spans="1:15" x14ac:dyDescent="0.25">
      <c r="A15" s="137">
        <v>13</v>
      </c>
      <c r="B15" s="23" t="s">
        <v>42</v>
      </c>
      <c r="C15" s="113">
        <v>28620</v>
      </c>
      <c r="D15" s="114">
        <v>30540</v>
      </c>
      <c r="E15" s="114">
        <f>30120+2860</f>
        <v>32980</v>
      </c>
      <c r="F15" s="114">
        <v>31000</v>
      </c>
      <c r="G15" s="114">
        <v>34660</v>
      </c>
      <c r="H15" s="114">
        <v>33360</v>
      </c>
      <c r="I15" s="114">
        <v>31680</v>
      </c>
      <c r="J15" s="114">
        <v>23620</v>
      </c>
      <c r="K15" s="114">
        <v>29360</v>
      </c>
      <c r="L15" s="114">
        <v>31020</v>
      </c>
      <c r="M15" s="114">
        <v>28860</v>
      </c>
      <c r="N15" s="115">
        <v>28800</v>
      </c>
      <c r="O15" s="134">
        <f>SUM(Tabla8[[#This Row],[Gener]:[Desembre]])</f>
        <v>364500</v>
      </c>
    </row>
    <row r="16" spans="1:15" x14ac:dyDescent="0.25">
      <c r="A16" s="137">
        <v>14</v>
      </c>
      <c r="B16" s="23" t="s">
        <v>11</v>
      </c>
      <c r="C16" s="113"/>
      <c r="D16" s="114"/>
      <c r="E16" s="114"/>
      <c r="F16" s="114"/>
      <c r="G16" s="114"/>
      <c r="H16" s="114"/>
      <c r="I16" s="114"/>
      <c r="J16" s="114"/>
      <c r="K16" s="114">
        <v>0</v>
      </c>
      <c r="L16" s="114">
        <v>0</v>
      </c>
      <c r="M16" s="114"/>
      <c r="N16" s="115"/>
      <c r="O16" s="134">
        <v>0</v>
      </c>
    </row>
    <row r="17" spans="1:15" x14ac:dyDescent="0.25">
      <c r="A17" s="137">
        <v>15</v>
      </c>
      <c r="B17" s="23" t="s">
        <v>12</v>
      </c>
      <c r="C17" s="113"/>
      <c r="D17" s="114"/>
      <c r="E17" s="114"/>
      <c r="F17" s="114"/>
      <c r="G17" s="114"/>
      <c r="H17" s="114"/>
      <c r="I17" s="114"/>
      <c r="J17" s="114"/>
      <c r="K17" s="114">
        <v>0</v>
      </c>
      <c r="L17" s="114">
        <v>0</v>
      </c>
      <c r="M17" s="114"/>
      <c r="N17" s="115"/>
      <c r="O17" s="134">
        <v>0</v>
      </c>
    </row>
    <row r="18" spans="1:15" x14ac:dyDescent="0.25">
      <c r="A18" s="137">
        <v>16</v>
      </c>
      <c r="B18" s="23" t="s">
        <v>13</v>
      </c>
      <c r="C18" s="113"/>
      <c r="D18" s="114"/>
      <c r="E18" s="114"/>
      <c r="F18" s="114"/>
      <c r="G18" s="114"/>
      <c r="H18" s="114"/>
      <c r="I18" s="114"/>
      <c r="J18" s="114"/>
      <c r="K18" s="114">
        <v>0</v>
      </c>
      <c r="L18" s="114">
        <v>0</v>
      </c>
      <c r="M18" s="114"/>
      <c r="N18" s="115"/>
      <c r="O18" s="134">
        <v>0</v>
      </c>
    </row>
    <row r="19" spans="1:15" x14ac:dyDescent="0.25">
      <c r="A19" s="137">
        <v>17</v>
      </c>
      <c r="B19" s="23" t="s">
        <v>14</v>
      </c>
      <c r="C19" s="113">
        <v>53840</v>
      </c>
      <c r="D19" s="114">
        <f>3300+3460+46040</f>
        <v>52800</v>
      </c>
      <c r="E19" s="114">
        <v>52560</v>
      </c>
      <c r="F19" s="114">
        <v>55340</v>
      </c>
      <c r="G19" s="114">
        <v>59280</v>
      </c>
      <c r="H19" s="114">
        <v>56560</v>
      </c>
      <c r="I19" s="114">
        <v>56840</v>
      </c>
      <c r="J19" s="114">
        <v>49680</v>
      </c>
      <c r="K19" s="114">
        <v>54840</v>
      </c>
      <c r="L19" s="114">
        <v>52600</v>
      </c>
      <c r="M19" s="114">
        <v>52380</v>
      </c>
      <c r="N19" s="115">
        <v>51780</v>
      </c>
      <c r="O19" s="134">
        <f>SUM(Tabla8[[#This Row],[Gener]:[Desembre]])</f>
        <v>648500</v>
      </c>
    </row>
    <row r="20" spans="1:15" x14ac:dyDescent="0.25">
      <c r="A20" s="137">
        <v>18</v>
      </c>
      <c r="B20" s="23" t="s">
        <v>15</v>
      </c>
      <c r="C20" s="113"/>
      <c r="D20" s="114"/>
      <c r="E20" s="114"/>
      <c r="F20" s="114"/>
      <c r="G20" s="114"/>
      <c r="H20" s="114"/>
      <c r="I20" s="114"/>
      <c r="J20" s="114"/>
      <c r="K20" s="114">
        <v>0</v>
      </c>
      <c r="L20" s="114">
        <v>0</v>
      </c>
      <c r="M20" s="114"/>
      <c r="N20" s="115"/>
      <c r="O20" s="134">
        <v>0</v>
      </c>
    </row>
    <row r="21" spans="1:15" x14ac:dyDescent="0.25">
      <c r="A21" s="137">
        <v>19</v>
      </c>
      <c r="B21" s="23" t="s">
        <v>16</v>
      </c>
      <c r="C21" s="113">
        <f>26440+6560</f>
        <v>33000</v>
      </c>
      <c r="D21" s="114">
        <f>140+26340+7000</f>
        <v>33480</v>
      </c>
      <c r="E21" s="114">
        <f>30960+9440</f>
        <v>40400</v>
      </c>
      <c r="F21" s="114">
        <f>26960+8720</f>
        <v>35680</v>
      </c>
      <c r="G21" s="114">
        <f>2160+26700+10060</f>
        <v>38920</v>
      </c>
      <c r="H21" s="114">
        <f>27540+10640</f>
        <v>38180</v>
      </c>
      <c r="I21" s="114">
        <v>35400</v>
      </c>
      <c r="J21" s="114">
        <f>21200+6360</f>
        <v>27560</v>
      </c>
      <c r="K21" s="114">
        <v>36400</v>
      </c>
      <c r="L21" s="114">
        <v>35480</v>
      </c>
      <c r="M21" s="114">
        <v>33940</v>
      </c>
      <c r="N21" s="115">
        <v>34140</v>
      </c>
      <c r="O21" s="134">
        <f>SUM(Tabla8[[#This Row],[Gener]:[Desembre]])</f>
        <v>422580</v>
      </c>
    </row>
    <row r="22" spans="1:15" x14ac:dyDescent="0.25">
      <c r="A22" s="137">
        <v>20</v>
      </c>
      <c r="B22" s="23" t="s">
        <v>17</v>
      </c>
      <c r="C22" s="113"/>
      <c r="D22" s="114"/>
      <c r="E22" s="114"/>
      <c r="F22" s="114"/>
      <c r="G22" s="114"/>
      <c r="H22" s="114"/>
      <c r="I22" s="114"/>
      <c r="J22" s="114"/>
      <c r="K22" s="114">
        <v>0</v>
      </c>
      <c r="L22" s="114">
        <v>0</v>
      </c>
      <c r="M22" s="114"/>
      <c r="N22" s="115"/>
      <c r="O22" s="134">
        <v>0</v>
      </c>
    </row>
    <row r="23" spans="1:15" x14ac:dyDescent="0.25">
      <c r="A23" s="137">
        <v>21</v>
      </c>
      <c r="B23" s="23" t="s">
        <v>18</v>
      </c>
      <c r="C23" s="113">
        <v>1901.69</v>
      </c>
      <c r="D23" s="114">
        <v>2060.41</v>
      </c>
      <c r="E23" s="114">
        <v>4025.86</v>
      </c>
      <c r="F23" s="114">
        <v>2319.71</v>
      </c>
      <c r="G23" s="114">
        <v>4155.3599999999997</v>
      </c>
      <c r="H23" s="114">
        <v>4721.62</v>
      </c>
      <c r="I23" s="114">
        <v>4414.01</v>
      </c>
      <c r="J23" s="114">
        <v>5114.59</v>
      </c>
      <c r="K23" s="114">
        <v>4092.05</v>
      </c>
      <c r="L23" s="114">
        <v>4036.24</v>
      </c>
      <c r="M23" s="114">
        <v>4207.5</v>
      </c>
      <c r="N23" s="115">
        <v>3211</v>
      </c>
      <c r="O23" s="134">
        <f>SUM(Tabla8[[#This Row],[Gener]:[Desembre]])</f>
        <v>44260.039999999994</v>
      </c>
    </row>
    <row r="24" spans="1:15" x14ac:dyDescent="0.25">
      <c r="A24" s="137">
        <v>22</v>
      </c>
      <c r="B24" s="23" t="s">
        <v>19</v>
      </c>
      <c r="C24" s="113"/>
      <c r="D24" s="114"/>
      <c r="E24" s="114"/>
      <c r="F24" s="114"/>
      <c r="G24" s="114"/>
      <c r="H24" s="114"/>
      <c r="I24" s="114"/>
      <c r="J24" s="114"/>
      <c r="K24" s="114">
        <v>0</v>
      </c>
      <c r="L24" s="114">
        <v>0</v>
      </c>
      <c r="M24" s="114"/>
      <c r="N24" s="115"/>
      <c r="O24" s="134">
        <v>0</v>
      </c>
    </row>
    <row r="25" spans="1:15" x14ac:dyDescent="0.25">
      <c r="A25" s="137">
        <v>23</v>
      </c>
      <c r="B25" s="23" t="s">
        <v>43</v>
      </c>
      <c r="C25" s="113"/>
      <c r="D25" s="114"/>
      <c r="E25" s="114"/>
      <c r="F25" s="114"/>
      <c r="G25" s="114"/>
      <c r="H25" s="114"/>
      <c r="I25" s="114"/>
      <c r="J25" s="114"/>
      <c r="K25" s="114">
        <v>0</v>
      </c>
      <c r="L25" s="114">
        <v>0</v>
      </c>
      <c r="M25" s="114"/>
      <c r="N25" s="115"/>
      <c r="O25" s="134">
        <v>0</v>
      </c>
    </row>
    <row r="26" spans="1:15" x14ac:dyDescent="0.25">
      <c r="A26" s="137">
        <v>24</v>
      </c>
      <c r="B26" s="23" t="s">
        <v>44</v>
      </c>
      <c r="C26" s="113">
        <f>34660+33620</f>
        <v>68280</v>
      </c>
      <c r="D26" s="114">
        <f>1740+31920+31780</f>
        <v>65440</v>
      </c>
      <c r="E26" s="114">
        <v>90040</v>
      </c>
      <c r="F26" s="114">
        <f>38080+56240</f>
        <v>94320</v>
      </c>
      <c r="G26" s="114">
        <f>44000+70560</f>
        <v>114560</v>
      </c>
      <c r="H26" s="114">
        <f>42580+61440</f>
        <v>104020</v>
      </c>
      <c r="I26" s="114">
        <v>90220</v>
      </c>
      <c r="J26" s="114">
        <f>36840+58980</f>
        <v>95820</v>
      </c>
      <c r="K26" s="114">
        <v>84930</v>
      </c>
      <c r="L26" s="114">
        <v>78720</v>
      </c>
      <c r="M26" s="114">
        <v>78340</v>
      </c>
      <c r="N26" s="115">
        <v>80500</v>
      </c>
      <c r="O26" s="134">
        <f>SUM(Tabla8[[#This Row],[Gener]:[Desembre]])</f>
        <v>1045190</v>
      </c>
    </row>
    <row r="27" spans="1:15" x14ac:dyDescent="0.25">
      <c r="A27" s="137">
        <v>25</v>
      </c>
      <c r="B27" s="23" t="s">
        <v>20</v>
      </c>
      <c r="C27" s="113"/>
      <c r="D27" s="114"/>
      <c r="E27" s="114"/>
      <c r="F27" s="114"/>
      <c r="G27" s="114"/>
      <c r="H27" s="114"/>
      <c r="I27" s="114"/>
      <c r="J27" s="114"/>
      <c r="K27" s="114">
        <v>0</v>
      </c>
      <c r="L27" s="114">
        <v>0</v>
      </c>
      <c r="M27" s="114"/>
      <c r="N27" s="115"/>
      <c r="O27" s="134">
        <v>0</v>
      </c>
    </row>
    <row r="28" spans="1:15" x14ac:dyDescent="0.25">
      <c r="A28" s="137">
        <v>26</v>
      </c>
      <c r="B28" s="23" t="s">
        <v>45</v>
      </c>
      <c r="C28" s="113">
        <v>30060</v>
      </c>
      <c r="D28" s="114">
        <v>28400</v>
      </c>
      <c r="E28" s="114">
        <v>37960</v>
      </c>
      <c r="F28" s="114">
        <v>38000</v>
      </c>
      <c r="G28" s="114">
        <v>44000</v>
      </c>
      <c r="H28" s="114">
        <v>38980</v>
      </c>
      <c r="I28" s="114">
        <v>36340</v>
      </c>
      <c r="J28" s="114">
        <v>35740</v>
      </c>
      <c r="K28" s="114">
        <v>35120</v>
      </c>
      <c r="L28" s="114">
        <v>35280</v>
      </c>
      <c r="M28" s="114">
        <v>35760</v>
      </c>
      <c r="N28" s="115">
        <v>35300</v>
      </c>
      <c r="O28" s="134">
        <f>SUM(Tabla8[[#This Row],[Gener]:[Desembre]])</f>
        <v>430940</v>
      </c>
    </row>
    <row r="29" spans="1:15" x14ac:dyDescent="0.25">
      <c r="A29" s="137">
        <v>27</v>
      </c>
      <c r="B29" s="23" t="s">
        <v>46</v>
      </c>
      <c r="C29" s="113"/>
      <c r="D29" s="114"/>
      <c r="E29" s="114"/>
      <c r="F29" s="114"/>
      <c r="G29" s="114"/>
      <c r="H29" s="114"/>
      <c r="I29" s="114"/>
      <c r="J29" s="114"/>
      <c r="K29" s="114">
        <v>0</v>
      </c>
      <c r="L29" s="114">
        <v>0</v>
      </c>
      <c r="M29" s="114"/>
      <c r="N29" s="115"/>
      <c r="O29" s="134">
        <f>SUM(Tabla8[[#This Row],[Gener]:[Desembre]])</f>
        <v>0</v>
      </c>
    </row>
    <row r="30" spans="1:15" x14ac:dyDescent="0.25">
      <c r="A30" s="137">
        <v>28</v>
      </c>
      <c r="B30" s="23" t="s">
        <v>47</v>
      </c>
      <c r="C30" s="113"/>
      <c r="D30" s="114"/>
      <c r="E30" s="114"/>
      <c r="F30" s="114"/>
      <c r="G30" s="114"/>
      <c r="H30" s="114"/>
      <c r="I30" s="114"/>
      <c r="J30" s="114"/>
      <c r="K30" s="114">
        <v>0</v>
      </c>
      <c r="L30" s="114">
        <v>21160</v>
      </c>
      <c r="M30" s="114">
        <v>22760</v>
      </c>
      <c r="N30" s="115">
        <v>23040</v>
      </c>
      <c r="O30" s="134">
        <v>0</v>
      </c>
    </row>
    <row r="31" spans="1:15" x14ac:dyDescent="0.25">
      <c r="A31" s="137">
        <v>29</v>
      </c>
      <c r="B31" s="23" t="s">
        <v>48</v>
      </c>
      <c r="C31" s="113">
        <v>304.16000000000003</v>
      </c>
      <c r="D31" s="114">
        <v>216.76</v>
      </c>
      <c r="E31" s="114">
        <v>540.01</v>
      </c>
      <c r="F31" s="114">
        <v>441.07</v>
      </c>
      <c r="G31" s="114">
        <v>597.70000000000005</v>
      </c>
      <c r="H31" s="114">
        <v>1072.21</v>
      </c>
      <c r="I31" s="114">
        <v>82.96</v>
      </c>
      <c r="J31" s="114">
        <v>1175.02</v>
      </c>
      <c r="K31" s="114">
        <v>626.66</v>
      </c>
      <c r="L31" s="114">
        <v>1480.66</v>
      </c>
      <c r="M31" s="114">
        <v>739.85</v>
      </c>
      <c r="N31" s="115">
        <v>1255</v>
      </c>
      <c r="O31" s="134">
        <f>SUM(Tabla8[[#This Row],[Gener]:[Desembre]])</f>
        <v>8532.06</v>
      </c>
    </row>
    <row r="32" spans="1:15" x14ac:dyDescent="0.25">
      <c r="A32" s="137">
        <v>30</v>
      </c>
      <c r="B32" s="23" t="s">
        <v>50</v>
      </c>
      <c r="C32" s="113">
        <v>59220</v>
      </c>
      <c r="D32" s="114">
        <f>1700+55780</f>
        <v>57480</v>
      </c>
      <c r="E32" s="114">
        <v>66300</v>
      </c>
      <c r="F32" s="114">
        <v>61760</v>
      </c>
      <c r="G32" s="114">
        <v>67960</v>
      </c>
      <c r="H32" s="114">
        <v>65720</v>
      </c>
      <c r="I32" s="114">
        <v>63680</v>
      </c>
      <c r="J32" s="114">
        <v>61520</v>
      </c>
      <c r="K32" s="114">
        <v>63500</v>
      </c>
      <c r="L32" s="114">
        <v>61220</v>
      </c>
      <c r="M32" s="114">
        <v>60400</v>
      </c>
      <c r="N32" s="115">
        <v>61740</v>
      </c>
      <c r="O32" s="134">
        <f>SUM(Tabla8[[#This Row],[Gener]:[Desembre]])</f>
        <v>750500</v>
      </c>
    </row>
    <row r="33" spans="1:15" x14ac:dyDescent="0.25">
      <c r="A33" s="137">
        <v>31</v>
      </c>
      <c r="B33" s="23" t="s">
        <v>51</v>
      </c>
      <c r="C33" s="113">
        <v>8680</v>
      </c>
      <c r="D33" s="114">
        <v>8740</v>
      </c>
      <c r="E33" s="114">
        <v>10640</v>
      </c>
      <c r="F33" s="114">
        <v>9560</v>
      </c>
      <c r="G33" s="114">
        <v>10060</v>
      </c>
      <c r="H33" s="114">
        <v>9680</v>
      </c>
      <c r="I33" s="114">
        <v>8780</v>
      </c>
      <c r="J33" s="114">
        <v>8200</v>
      </c>
      <c r="K33" s="114">
        <v>8520</v>
      </c>
      <c r="L33" s="114">
        <v>7940</v>
      </c>
      <c r="M33" s="114">
        <v>8840</v>
      </c>
      <c r="N33" s="115">
        <v>9360</v>
      </c>
      <c r="O33" s="134">
        <f>SUM(Tabla8[[#This Row],[Gener]:[Desembre]])</f>
        <v>109000</v>
      </c>
    </row>
    <row r="34" spans="1:15" x14ac:dyDescent="0.25">
      <c r="A34" s="137">
        <v>32</v>
      </c>
      <c r="B34" s="23" t="s">
        <v>52</v>
      </c>
      <c r="C34" s="113"/>
      <c r="D34" s="114"/>
      <c r="E34" s="114"/>
      <c r="F34" s="114"/>
      <c r="G34" s="114"/>
      <c r="H34" s="114"/>
      <c r="I34" s="114"/>
      <c r="J34" s="114"/>
      <c r="K34" s="114">
        <v>0</v>
      </c>
      <c r="L34" s="114">
        <v>0</v>
      </c>
      <c r="M34" s="114"/>
      <c r="N34" s="115"/>
      <c r="O34" s="134">
        <v>0</v>
      </c>
    </row>
    <row r="35" spans="1:15" x14ac:dyDescent="0.25">
      <c r="A35" s="137">
        <v>33</v>
      </c>
      <c r="B35" s="23" t="s">
        <v>21</v>
      </c>
      <c r="C35" s="113"/>
      <c r="D35" s="114"/>
      <c r="E35" s="114"/>
      <c r="F35" s="114"/>
      <c r="G35" s="114"/>
      <c r="H35" s="114"/>
      <c r="I35" s="114"/>
      <c r="J35" s="114"/>
      <c r="K35" s="114">
        <v>0</v>
      </c>
      <c r="L35" s="114">
        <v>0</v>
      </c>
      <c r="M35" s="114"/>
      <c r="N35" s="115"/>
      <c r="O35" s="134">
        <v>0</v>
      </c>
    </row>
    <row r="36" spans="1:15" x14ac:dyDescent="0.25">
      <c r="A36" s="137">
        <v>34</v>
      </c>
      <c r="B36" s="23" t="s">
        <v>22</v>
      </c>
      <c r="C36" s="113">
        <v>9861.75</v>
      </c>
      <c r="D36" s="114">
        <v>9014.64</v>
      </c>
      <c r="E36" s="114">
        <v>13223.06</v>
      </c>
      <c r="F36" s="114">
        <f>12445.53+593.94</f>
        <v>13039.470000000001</v>
      </c>
      <c r="G36" s="114">
        <v>14597.87</v>
      </c>
      <c r="H36" s="114">
        <v>12511.3</v>
      </c>
      <c r="I36" s="114">
        <v>12730.55</v>
      </c>
      <c r="J36" s="114">
        <v>12483.07</v>
      </c>
      <c r="K36" s="114">
        <v>10635.67</v>
      </c>
      <c r="L36" s="114">
        <v>11444.37</v>
      </c>
      <c r="M36" s="114">
        <v>12052.93</v>
      </c>
      <c r="N36" s="115">
        <v>11243</v>
      </c>
      <c r="O36" s="134">
        <f>SUM(Tabla8[[#This Row],[Gener]:[Desembre]])</f>
        <v>142837.68</v>
      </c>
    </row>
    <row r="37" spans="1:15" x14ac:dyDescent="0.25">
      <c r="A37" s="137">
        <v>35</v>
      </c>
      <c r="B37" s="23" t="s">
        <v>23</v>
      </c>
      <c r="C37" s="113"/>
      <c r="D37" s="114"/>
      <c r="E37" s="114"/>
      <c r="F37" s="114"/>
      <c r="G37" s="114"/>
      <c r="H37" s="114"/>
      <c r="I37" s="114"/>
      <c r="J37" s="114"/>
      <c r="K37" s="114">
        <v>0</v>
      </c>
      <c r="L37" s="114">
        <v>0</v>
      </c>
      <c r="M37" s="114"/>
      <c r="N37" s="115"/>
      <c r="O37" s="134">
        <v>0</v>
      </c>
    </row>
    <row r="38" spans="1:15" x14ac:dyDescent="0.25">
      <c r="A38" s="137">
        <v>36</v>
      </c>
      <c r="B38" s="23" t="s">
        <v>24</v>
      </c>
      <c r="C38" s="113">
        <v>2878.25</v>
      </c>
      <c r="D38" s="114">
        <v>3085.36</v>
      </c>
      <c r="E38" s="114">
        <v>3556.94</v>
      </c>
      <c r="F38" s="114">
        <f>3014.47+186.06</f>
        <v>3200.5299999999997</v>
      </c>
      <c r="G38" s="114">
        <v>4102.13</v>
      </c>
      <c r="H38" s="114">
        <v>3608.7</v>
      </c>
      <c r="I38" s="114">
        <v>3369.45</v>
      </c>
      <c r="J38" s="114">
        <v>3816.93</v>
      </c>
      <c r="K38" s="114">
        <v>2684.33</v>
      </c>
      <c r="L38" s="114">
        <v>3255.63</v>
      </c>
      <c r="M38" s="114">
        <v>3487.07</v>
      </c>
      <c r="N38" s="115">
        <v>3297</v>
      </c>
      <c r="O38" s="134">
        <f>SUM(Tabla8[[#This Row],[Gener]:[Desembre]])</f>
        <v>40342.32</v>
      </c>
    </row>
    <row r="39" spans="1:15" x14ac:dyDescent="0.25">
      <c r="A39" s="137">
        <v>37</v>
      </c>
      <c r="B39" s="23" t="s">
        <v>25</v>
      </c>
      <c r="C39" s="113"/>
      <c r="D39" s="114"/>
      <c r="E39" s="114"/>
      <c r="F39" s="114"/>
      <c r="G39" s="114"/>
      <c r="H39" s="114"/>
      <c r="I39" s="114"/>
      <c r="J39" s="114"/>
      <c r="K39" s="114">
        <v>0</v>
      </c>
      <c r="L39" s="114">
        <v>0</v>
      </c>
      <c r="M39" s="114"/>
      <c r="N39" s="115"/>
      <c r="O39" s="134">
        <v>0</v>
      </c>
    </row>
    <row r="40" spans="1:15" x14ac:dyDescent="0.25">
      <c r="A40" s="137">
        <v>38</v>
      </c>
      <c r="B40" s="23" t="s">
        <v>5</v>
      </c>
      <c r="C40" s="113"/>
      <c r="D40" s="114"/>
      <c r="E40" s="114"/>
      <c r="F40" s="114"/>
      <c r="G40" s="114"/>
      <c r="H40" s="114"/>
      <c r="I40" s="114"/>
      <c r="J40" s="114"/>
      <c r="K40" s="114">
        <v>0</v>
      </c>
      <c r="L40" s="114">
        <v>0</v>
      </c>
      <c r="M40" s="114"/>
      <c r="N40" s="115"/>
      <c r="O40" s="134">
        <v>0</v>
      </c>
    </row>
    <row r="41" spans="1:15" x14ac:dyDescent="0.25">
      <c r="A41" s="137">
        <v>39</v>
      </c>
      <c r="B41" s="23" t="s">
        <v>6</v>
      </c>
      <c r="C41" s="113">
        <v>23520</v>
      </c>
      <c r="D41" s="114">
        <v>22220</v>
      </c>
      <c r="E41" s="114">
        <v>27240</v>
      </c>
      <c r="F41" s="114">
        <v>27000</v>
      </c>
      <c r="G41" s="114">
        <f>1460+29120</f>
        <v>30580</v>
      </c>
      <c r="H41" s="114">
        <v>32480</v>
      </c>
      <c r="I41" s="114">
        <v>35000</v>
      </c>
      <c r="J41" s="114">
        <v>36560</v>
      </c>
      <c r="K41" s="114">
        <v>29180</v>
      </c>
      <c r="L41" s="114">
        <v>26480</v>
      </c>
      <c r="M41" s="114">
        <v>26580</v>
      </c>
      <c r="N41" s="115">
        <v>25120</v>
      </c>
      <c r="O41" s="134">
        <f>SUM(Tabla8[[#This Row],[Gener]:[Desembre]])</f>
        <v>341960</v>
      </c>
    </row>
    <row r="42" spans="1:15" x14ac:dyDescent="0.25">
      <c r="A42" s="137">
        <v>40</v>
      </c>
      <c r="B42" s="23" t="s">
        <v>8</v>
      </c>
      <c r="C42" s="113"/>
      <c r="D42" s="114"/>
      <c r="E42" s="114"/>
      <c r="F42" s="114"/>
      <c r="G42" s="114"/>
      <c r="H42" s="114"/>
      <c r="I42" s="114"/>
      <c r="J42" s="114"/>
      <c r="K42" s="114">
        <v>0</v>
      </c>
      <c r="L42" s="114">
        <v>0</v>
      </c>
      <c r="M42" s="114"/>
      <c r="N42" s="115"/>
      <c r="O42" s="134">
        <v>0</v>
      </c>
    </row>
    <row r="43" spans="1:15" ht="15.75" thickBot="1" x14ac:dyDescent="0.3">
      <c r="A43" s="138">
        <v>41</v>
      </c>
      <c r="B43" s="24" t="s">
        <v>49</v>
      </c>
      <c r="C43" s="116"/>
      <c r="D43" s="117"/>
      <c r="E43" s="117"/>
      <c r="F43" s="117"/>
      <c r="G43" s="117"/>
      <c r="H43" s="117"/>
      <c r="I43" s="117"/>
      <c r="J43" s="117"/>
      <c r="K43" s="117">
        <v>0</v>
      </c>
      <c r="L43" s="117">
        <v>0</v>
      </c>
      <c r="M43" s="117"/>
      <c r="N43" s="118"/>
      <c r="O43" s="135">
        <f>SUM(Tabla8[[#This Row],[Gener]:[Desembre]])</f>
        <v>0</v>
      </c>
    </row>
    <row r="44" spans="1:15" s="4" customFormat="1" ht="15.75" thickBot="1" x14ac:dyDescent="0.3">
      <c r="A44" s="108"/>
      <c r="B44" s="22" t="s">
        <v>71</v>
      </c>
      <c r="C44" s="16">
        <f t="shared" ref="C44:N44" si="0">SUBTOTAL(109,C4:C43)</f>
        <v>430299.99999999994</v>
      </c>
      <c r="D44" s="17">
        <f t="shared" si="0"/>
        <v>424100</v>
      </c>
      <c r="E44" s="17">
        <f t="shared" si="0"/>
        <v>513779.99</v>
      </c>
      <c r="F44" s="17">
        <f t="shared" si="0"/>
        <v>507720</v>
      </c>
      <c r="G44" s="17">
        <f t="shared" si="0"/>
        <v>571600.01</v>
      </c>
      <c r="H44" s="17">
        <f t="shared" si="0"/>
        <v>545060</v>
      </c>
      <c r="I44" s="17">
        <f t="shared" si="0"/>
        <v>514319.99</v>
      </c>
      <c r="J44" s="17">
        <f>SUBTOTAL(109,J4:J43)</f>
        <v>483699.99</v>
      </c>
      <c r="K44" s="17">
        <f t="shared" si="0"/>
        <v>476529.99999999994</v>
      </c>
      <c r="L44" s="17">
        <f t="shared" si="0"/>
        <v>495819.99999999994</v>
      </c>
      <c r="M44" s="17">
        <f t="shared" si="0"/>
        <v>492960</v>
      </c>
      <c r="N44" s="17">
        <f t="shared" si="0"/>
        <v>491620</v>
      </c>
      <c r="O44" s="27">
        <f>SUM(Tabla8[[#This Row],[Gener]:[Desembre]])</f>
        <v>5947509.9800000004</v>
      </c>
    </row>
    <row r="45" spans="1:15" ht="15.75" thickBot="1" x14ac:dyDescent="0.3">
      <c r="A45" s="108"/>
      <c r="B45" s="28" t="s">
        <v>69</v>
      </c>
      <c r="C45" s="29">
        <v>440780.04</v>
      </c>
      <c r="D45" s="30">
        <v>433039.99</v>
      </c>
      <c r="E45" s="30">
        <v>478840</v>
      </c>
      <c r="F45" s="30">
        <v>534160</v>
      </c>
      <c r="G45" s="30">
        <v>574699.99999999988</v>
      </c>
      <c r="H45" s="30">
        <v>578519.99999999988</v>
      </c>
      <c r="I45" s="30">
        <v>560240.01000000013</v>
      </c>
      <c r="J45" s="30">
        <v>538654</v>
      </c>
      <c r="K45" s="30">
        <v>508699.99</v>
      </c>
      <c r="L45" s="30">
        <v>486720</v>
      </c>
      <c r="M45" s="30">
        <v>479620</v>
      </c>
      <c r="N45" s="31">
        <v>459880</v>
      </c>
      <c r="O45" s="32">
        <f>SUM(Tabla8[[#This Row],[Gener]:[Desembre]])</f>
        <v>6073854.0300000003</v>
      </c>
    </row>
    <row r="46" spans="1:15" ht="15.75" thickBot="1" x14ac:dyDescent="0.3">
      <c r="A46" s="108"/>
      <c r="B46" s="90" t="s">
        <v>58</v>
      </c>
      <c r="C46" s="131">
        <f t="shared" ref="C46:O46" si="1">(C44/C45)-1</f>
        <v>-2.3776121985923049E-2</v>
      </c>
      <c r="D46" s="132">
        <f t="shared" si="1"/>
        <v>-2.0644721518675468E-2</v>
      </c>
      <c r="E46" s="132">
        <f t="shared" si="1"/>
        <v>7.2967985130732549E-2</v>
      </c>
      <c r="F46" s="132">
        <f t="shared" si="1"/>
        <v>-4.9498277669612123E-2</v>
      </c>
      <c r="G46" s="132">
        <f t="shared" si="1"/>
        <v>-5.3941012702277691E-3</v>
      </c>
      <c r="H46" s="132">
        <f t="shared" si="1"/>
        <v>-5.7837239853418931E-2</v>
      </c>
      <c r="I46" s="132">
        <f t="shared" si="1"/>
        <v>-8.1964906433583895E-2</v>
      </c>
      <c r="J46" s="132">
        <f t="shared" si="1"/>
        <v>-0.10202098192903053</v>
      </c>
      <c r="K46" s="132">
        <f t="shared" si="1"/>
        <v>-6.3239612015718816E-2</v>
      </c>
      <c r="L46" s="132">
        <f t="shared" si="1"/>
        <v>1.869658119658113E-2</v>
      </c>
      <c r="M46" s="132">
        <f t="shared" si="1"/>
        <v>2.7813685834619184E-2</v>
      </c>
      <c r="N46" s="132">
        <f t="shared" si="1"/>
        <v>6.9018004696877355E-2</v>
      </c>
      <c r="O46" s="225">
        <f t="shared" si="1"/>
        <v>-2.0801298380889732E-2</v>
      </c>
    </row>
    <row r="49" spans="15:16" x14ac:dyDescent="0.25">
      <c r="O49" s="2"/>
    </row>
    <row r="50" spans="15:16" x14ac:dyDescent="0.25">
      <c r="O50" s="2"/>
      <c r="P50" s="20"/>
    </row>
    <row r="51" spans="15:16" x14ac:dyDescent="0.25">
      <c r="P51" s="20"/>
    </row>
    <row r="52" spans="15:16" x14ac:dyDescent="0.25">
      <c r="P52" s="20"/>
    </row>
    <row r="53" spans="15:16" x14ac:dyDescent="0.25">
      <c r="P53" s="20"/>
    </row>
    <row r="54" spans="15:16" x14ac:dyDescent="0.25">
      <c r="P54" s="20"/>
    </row>
    <row r="55" spans="15:16" x14ac:dyDescent="0.25">
      <c r="P55" s="20"/>
    </row>
    <row r="56" spans="15:16" x14ac:dyDescent="0.25">
      <c r="O56" s="4"/>
    </row>
    <row r="57" spans="15:16" x14ac:dyDescent="0.25">
      <c r="O57" s="4"/>
    </row>
    <row r="58" spans="15:16" x14ac:dyDescent="0.25">
      <c r="O58" s="4"/>
    </row>
  </sheetData>
  <sheetProtection password="C3D2" sheet="1" objects="1" scenarios="1"/>
  <sortState xmlns:xlrd2="http://schemas.microsoft.com/office/spreadsheetml/2017/richdata2" ref="B4:O45">
    <sortCondition ref="B4:B45"/>
  </sortState>
  <conditionalFormatting sqref="C46:O46">
    <cfRule type="cellIs" dxfId="2" priority="1" operator="lessThan">
      <formula>0</formula>
    </cfRule>
  </conditionalFormatting>
  <pageMargins left="0.23622047244094491" right="0.23622047244094491" top="0.51" bottom="0.18" header="0.19685039370078741" footer="0.19"/>
  <pageSetup paperSize="9" scale="77" orientation="landscape" copies="5" r:id="rId1"/>
  <headerFooter>
    <oddHeader>&amp;L&amp;"Calibri,Normal"&amp;G&amp;C&amp;"Calibri,Normal"&amp;F&amp;R&amp;"Calibri,Normal"&amp;G</oddHeader>
    <oddFooter>&amp;L&amp;"Calibri,Normal"&amp;D&amp;C&amp;"Calibri,Normal"&amp;A&amp;R&amp;"Calibri,Normal"&amp;P de&amp;N</oddFooter>
  </headerFooter>
  <drawing r:id="rId2"/>
  <legacyDrawingHF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1"/>
  <sheetViews>
    <sheetView zoomScale="90" zoomScaleNormal="90" workbookViewId="0">
      <selection activeCell="N44" sqref="N44"/>
    </sheetView>
  </sheetViews>
  <sheetFormatPr baseColWidth="10" defaultRowHeight="15" x14ac:dyDescent="0.25"/>
  <cols>
    <col min="1" max="1" width="5.28515625" customWidth="1"/>
    <col min="2" max="2" width="32.7109375" customWidth="1"/>
    <col min="3" max="14" width="9.85546875" style="60" customWidth="1"/>
    <col min="15" max="15" width="10.28515625" style="61" customWidth="1"/>
    <col min="16" max="1023" width="17" customWidth="1"/>
  </cols>
  <sheetData>
    <row r="1" spans="1:19" ht="15.75" x14ac:dyDescent="0.25">
      <c r="B1" s="58" t="s">
        <v>77</v>
      </c>
      <c r="C1"/>
      <c r="D1"/>
      <c r="E1"/>
      <c r="F1"/>
      <c r="G1"/>
      <c r="H1"/>
      <c r="I1"/>
      <c r="J1"/>
      <c r="K1"/>
      <c r="L1"/>
      <c r="M1"/>
      <c r="N1"/>
      <c r="O1" s="59"/>
    </row>
    <row r="2" spans="1:19" ht="15.75" thickBot="1" x14ac:dyDescent="0.3">
      <c r="C2"/>
      <c r="D2"/>
      <c r="E2"/>
      <c r="F2"/>
      <c r="G2"/>
      <c r="H2"/>
      <c r="I2"/>
      <c r="J2"/>
      <c r="K2"/>
      <c r="L2"/>
      <c r="M2"/>
      <c r="N2"/>
      <c r="O2" s="59"/>
    </row>
    <row r="3" spans="1:19" ht="15.75" thickBot="1" x14ac:dyDescent="0.3">
      <c r="A3" s="122" t="s">
        <v>59</v>
      </c>
      <c r="B3" s="123" t="s">
        <v>57</v>
      </c>
      <c r="C3" s="124" t="s">
        <v>26</v>
      </c>
      <c r="D3" s="120" t="s">
        <v>27</v>
      </c>
      <c r="E3" s="120" t="s">
        <v>28</v>
      </c>
      <c r="F3" s="120" t="s">
        <v>29</v>
      </c>
      <c r="G3" s="120" t="s">
        <v>30</v>
      </c>
      <c r="H3" s="120" t="s">
        <v>31</v>
      </c>
      <c r="I3" s="120" t="s">
        <v>32</v>
      </c>
      <c r="J3" s="120" t="s">
        <v>33</v>
      </c>
      <c r="K3" s="120" t="s">
        <v>34</v>
      </c>
      <c r="L3" s="120" t="s">
        <v>35</v>
      </c>
      <c r="M3" s="120" t="s">
        <v>36</v>
      </c>
      <c r="N3" s="121" t="s">
        <v>37</v>
      </c>
      <c r="O3" s="122" t="s">
        <v>38</v>
      </c>
    </row>
    <row r="4" spans="1:19" x14ac:dyDescent="0.25">
      <c r="A4" s="171">
        <v>1</v>
      </c>
      <c r="B4" s="174" t="s">
        <v>39</v>
      </c>
      <c r="C4" s="177">
        <v>28460</v>
      </c>
      <c r="D4" s="165">
        <v>33220</v>
      </c>
      <c r="E4" s="165">
        <v>43780</v>
      </c>
      <c r="F4" s="166">
        <v>40640</v>
      </c>
      <c r="G4" s="166">
        <v>43980</v>
      </c>
      <c r="H4" s="166">
        <v>40420</v>
      </c>
      <c r="I4" s="166">
        <v>34800</v>
      </c>
      <c r="J4" s="166">
        <v>36840</v>
      </c>
      <c r="K4" s="166">
        <v>29940</v>
      </c>
      <c r="L4" s="166">
        <v>30000</v>
      </c>
      <c r="M4" s="166">
        <v>37680</v>
      </c>
      <c r="N4" s="178">
        <v>29560</v>
      </c>
      <c r="O4" s="183">
        <f>SUM(Tabla911[[#This Row],[Gener]:[Desembre]])</f>
        <v>429320</v>
      </c>
      <c r="R4" s="279"/>
      <c r="S4" s="280"/>
    </row>
    <row r="5" spans="1:19" x14ac:dyDescent="0.25">
      <c r="A5" s="172">
        <v>2</v>
      </c>
      <c r="B5" s="175" t="s">
        <v>0</v>
      </c>
      <c r="C5" s="179"/>
      <c r="D5" s="167"/>
      <c r="E5" s="167"/>
      <c r="F5" s="168"/>
      <c r="G5" s="168"/>
      <c r="H5" s="168"/>
      <c r="I5" s="168"/>
      <c r="J5" s="168"/>
      <c r="K5" s="168"/>
      <c r="L5" s="168"/>
      <c r="M5" s="168"/>
      <c r="N5" s="180"/>
      <c r="O5" s="184"/>
      <c r="R5" s="279"/>
      <c r="S5" s="280"/>
    </row>
    <row r="6" spans="1:19" x14ac:dyDescent="0.25">
      <c r="A6" s="172">
        <v>3</v>
      </c>
      <c r="B6" s="175" t="s">
        <v>1</v>
      </c>
      <c r="C6" s="179"/>
      <c r="D6" s="167"/>
      <c r="E6" s="167"/>
      <c r="F6" s="168"/>
      <c r="G6" s="168"/>
      <c r="H6" s="168"/>
      <c r="I6" s="168"/>
      <c r="J6" s="168"/>
      <c r="K6" s="168"/>
      <c r="L6" s="168"/>
      <c r="M6" s="168"/>
      <c r="N6" s="180"/>
      <c r="O6" s="184"/>
      <c r="R6" s="279"/>
      <c r="S6" s="280"/>
    </row>
    <row r="7" spans="1:19" x14ac:dyDescent="0.25">
      <c r="A7" s="172">
        <v>4</v>
      </c>
      <c r="B7" s="175" t="s">
        <v>2</v>
      </c>
      <c r="C7" s="179"/>
      <c r="D7" s="167"/>
      <c r="E7" s="167"/>
      <c r="F7" s="168"/>
      <c r="G7" s="168"/>
      <c r="H7" s="168"/>
      <c r="I7" s="168"/>
      <c r="J7" s="168"/>
      <c r="K7" s="168"/>
      <c r="L7" s="168"/>
      <c r="M7" s="168"/>
      <c r="N7" s="180"/>
      <c r="O7" s="184"/>
    </row>
    <row r="8" spans="1:19" x14ac:dyDescent="0.25">
      <c r="A8" s="172">
        <v>5</v>
      </c>
      <c r="B8" s="175" t="s">
        <v>3</v>
      </c>
      <c r="C8" s="179"/>
      <c r="D8" s="167"/>
      <c r="E8" s="167"/>
      <c r="F8" s="168"/>
      <c r="G8" s="168"/>
      <c r="H8" s="168"/>
      <c r="I8" s="168"/>
      <c r="J8" s="168"/>
      <c r="K8" s="168"/>
      <c r="L8" s="168"/>
      <c r="M8" s="168"/>
      <c r="N8" s="180"/>
      <c r="O8" s="184"/>
    </row>
    <row r="9" spans="1:19" x14ac:dyDescent="0.25">
      <c r="A9" s="172">
        <v>6</v>
      </c>
      <c r="B9" s="175" t="s">
        <v>4</v>
      </c>
      <c r="C9" s="179"/>
      <c r="D9" s="167"/>
      <c r="E9" s="167"/>
      <c r="F9" s="168"/>
      <c r="G9" s="168"/>
      <c r="H9" s="168">
        <v>520</v>
      </c>
      <c r="I9" s="168">
        <v>480</v>
      </c>
      <c r="J9" s="168">
        <v>1540</v>
      </c>
      <c r="K9" s="168">
        <v>940</v>
      </c>
      <c r="L9" s="168">
        <v>1260</v>
      </c>
      <c r="M9" s="168">
        <v>2340</v>
      </c>
      <c r="N9" s="180">
        <v>2340</v>
      </c>
      <c r="O9" s="184">
        <f>SUM(Tabla911[[#This Row],[Gener]:[Desembre]])</f>
        <v>9420</v>
      </c>
    </row>
    <row r="10" spans="1:19" x14ac:dyDescent="0.25">
      <c r="A10" s="172">
        <v>8</v>
      </c>
      <c r="B10" s="175" t="s">
        <v>7</v>
      </c>
      <c r="C10" s="179"/>
      <c r="D10" s="167"/>
      <c r="E10" s="167"/>
      <c r="F10" s="168"/>
      <c r="G10" s="168"/>
      <c r="H10" s="168"/>
      <c r="I10" s="168"/>
      <c r="J10" s="168"/>
      <c r="K10" s="168"/>
      <c r="L10" s="168"/>
      <c r="M10" s="168"/>
      <c r="N10" s="180"/>
      <c r="O10" s="184"/>
    </row>
    <row r="11" spans="1:19" x14ac:dyDescent="0.25">
      <c r="A11" s="172">
        <v>9</v>
      </c>
      <c r="B11" s="175" t="s">
        <v>40</v>
      </c>
      <c r="C11" s="179"/>
      <c r="D11" s="167"/>
      <c r="E11" s="167"/>
      <c r="F11" s="168"/>
      <c r="G11" s="168"/>
      <c r="H11" s="168"/>
      <c r="I11" s="168"/>
      <c r="J11" s="168"/>
      <c r="K11" s="168"/>
      <c r="L11" s="168"/>
      <c r="M11" s="168"/>
      <c r="N11" s="180"/>
      <c r="O11" s="184"/>
    </row>
    <row r="12" spans="1:19" x14ac:dyDescent="0.25">
      <c r="A12" s="172">
        <v>10</v>
      </c>
      <c r="B12" s="175" t="s">
        <v>41</v>
      </c>
      <c r="C12" s="179"/>
      <c r="D12" s="167"/>
      <c r="E12" s="167"/>
      <c r="F12" s="168"/>
      <c r="G12" s="168"/>
      <c r="H12" s="168"/>
      <c r="I12" s="168"/>
      <c r="J12" s="168"/>
      <c r="K12" s="168"/>
      <c r="L12" s="168"/>
      <c r="M12" s="168"/>
      <c r="N12" s="180"/>
      <c r="O12" s="184"/>
    </row>
    <row r="13" spans="1:19" x14ac:dyDescent="0.25">
      <c r="A13" s="172">
        <v>11</v>
      </c>
      <c r="B13" s="175" t="s">
        <v>9</v>
      </c>
      <c r="C13" s="179"/>
      <c r="D13" s="167"/>
      <c r="E13" s="167"/>
      <c r="F13" s="168"/>
      <c r="G13" s="168"/>
      <c r="H13" s="168"/>
      <c r="I13" s="168"/>
      <c r="J13" s="168"/>
      <c r="K13" s="168"/>
      <c r="L13" s="168"/>
      <c r="M13" s="168"/>
      <c r="N13" s="180"/>
      <c r="O13" s="184"/>
    </row>
    <row r="14" spans="1:19" x14ac:dyDescent="0.25">
      <c r="A14" s="172">
        <v>12</v>
      </c>
      <c r="B14" s="175" t="s">
        <v>10</v>
      </c>
      <c r="C14" s="179"/>
      <c r="D14" s="167"/>
      <c r="E14" s="167"/>
      <c r="F14" s="168"/>
      <c r="G14" s="168"/>
      <c r="H14" s="168"/>
      <c r="I14" s="168"/>
      <c r="J14" s="168"/>
      <c r="K14" s="168"/>
      <c r="L14" s="168"/>
      <c r="M14" s="168"/>
      <c r="N14" s="180"/>
      <c r="O14" s="184"/>
    </row>
    <row r="15" spans="1:19" x14ac:dyDescent="0.25">
      <c r="A15" s="172">
        <v>13</v>
      </c>
      <c r="B15" s="175" t="s">
        <v>42</v>
      </c>
      <c r="C15" s="179"/>
      <c r="D15" s="167"/>
      <c r="E15" s="167"/>
      <c r="F15" s="168"/>
      <c r="G15" s="168"/>
      <c r="H15" s="168"/>
      <c r="I15" s="168"/>
      <c r="J15" s="168"/>
      <c r="K15" s="168"/>
      <c r="L15" s="168"/>
      <c r="M15" s="168"/>
      <c r="N15" s="180"/>
      <c r="O15" s="184"/>
    </row>
    <row r="16" spans="1:19" x14ac:dyDescent="0.25">
      <c r="A16" s="172">
        <v>14</v>
      </c>
      <c r="B16" s="175" t="s">
        <v>11</v>
      </c>
      <c r="C16" s="179"/>
      <c r="D16" s="167"/>
      <c r="E16" s="167"/>
      <c r="F16" s="168"/>
      <c r="G16" s="168"/>
      <c r="H16" s="168"/>
      <c r="I16" s="168"/>
      <c r="J16" s="168"/>
      <c r="K16" s="168"/>
      <c r="L16" s="168"/>
      <c r="M16" s="168"/>
      <c r="N16" s="180"/>
      <c r="O16" s="184"/>
    </row>
    <row r="17" spans="1:15" x14ac:dyDescent="0.25">
      <c r="A17" s="172">
        <v>15</v>
      </c>
      <c r="B17" s="175" t="s">
        <v>12</v>
      </c>
      <c r="C17" s="179"/>
      <c r="D17" s="167"/>
      <c r="E17" s="167"/>
      <c r="F17" s="168"/>
      <c r="G17" s="168"/>
      <c r="H17" s="168"/>
      <c r="I17" s="168"/>
      <c r="J17" s="168"/>
      <c r="K17" s="168"/>
      <c r="L17" s="168"/>
      <c r="M17" s="168"/>
      <c r="N17" s="180"/>
      <c r="O17" s="184"/>
    </row>
    <row r="18" spans="1:15" x14ac:dyDescent="0.25">
      <c r="A18" s="172">
        <v>16</v>
      </c>
      <c r="B18" s="175" t="s">
        <v>13</v>
      </c>
      <c r="C18" s="179"/>
      <c r="D18" s="167"/>
      <c r="E18" s="167"/>
      <c r="F18" s="168"/>
      <c r="G18" s="168"/>
      <c r="H18" s="168"/>
      <c r="I18" s="168"/>
      <c r="J18" s="168"/>
      <c r="K18" s="168"/>
      <c r="L18" s="168"/>
      <c r="M18" s="168"/>
      <c r="N18" s="180"/>
      <c r="O18" s="184"/>
    </row>
    <row r="19" spans="1:15" x14ac:dyDescent="0.25">
      <c r="A19" s="172">
        <v>17</v>
      </c>
      <c r="B19" s="175" t="s">
        <v>14</v>
      </c>
      <c r="C19" s="179"/>
      <c r="D19" s="167"/>
      <c r="E19" s="167"/>
      <c r="F19" s="168"/>
      <c r="G19" s="168"/>
      <c r="H19" s="168"/>
      <c r="I19" s="168"/>
      <c r="J19" s="168"/>
      <c r="K19" s="168"/>
      <c r="L19" s="168"/>
      <c r="M19" s="168"/>
      <c r="N19" s="180"/>
      <c r="O19" s="184"/>
    </row>
    <row r="20" spans="1:15" x14ac:dyDescent="0.25">
      <c r="A20" s="172">
        <v>18</v>
      </c>
      <c r="B20" s="175" t="s">
        <v>15</v>
      </c>
      <c r="C20" s="179"/>
      <c r="D20" s="167"/>
      <c r="E20" s="167"/>
      <c r="F20" s="168"/>
      <c r="G20" s="168"/>
      <c r="H20" s="168"/>
      <c r="I20" s="168"/>
      <c r="J20" s="168"/>
      <c r="K20" s="168"/>
      <c r="L20" s="168"/>
      <c r="M20" s="168"/>
      <c r="N20" s="180"/>
      <c r="O20" s="184"/>
    </row>
    <row r="21" spans="1:15" x14ac:dyDescent="0.25">
      <c r="A21" s="172">
        <v>19</v>
      </c>
      <c r="B21" s="175" t="s">
        <v>16</v>
      </c>
      <c r="C21" s="179"/>
      <c r="D21" s="167"/>
      <c r="E21" s="167"/>
      <c r="F21" s="168"/>
      <c r="G21" s="168"/>
      <c r="H21" s="168"/>
      <c r="I21" s="168"/>
      <c r="J21" s="168"/>
      <c r="K21" s="168"/>
      <c r="L21" s="168"/>
      <c r="M21" s="168"/>
      <c r="N21" s="180"/>
      <c r="O21" s="184"/>
    </row>
    <row r="22" spans="1:15" x14ac:dyDescent="0.25">
      <c r="A22" s="172">
        <v>20</v>
      </c>
      <c r="B22" s="175" t="s">
        <v>17</v>
      </c>
      <c r="C22" s="179"/>
      <c r="D22" s="167"/>
      <c r="E22" s="167"/>
      <c r="F22" s="168"/>
      <c r="G22" s="168"/>
      <c r="H22" s="168"/>
      <c r="I22" s="168"/>
      <c r="J22" s="168"/>
      <c r="K22" s="168"/>
      <c r="L22" s="168"/>
      <c r="M22" s="168"/>
      <c r="N22" s="180"/>
      <c r="O22" s="184"/>
    </row>
    <row r="23" spans="1:15" x14ac:dyDescent="0.25">
      <c r="A23" s="172">
        <v>21</v>
      </c>
      <c r="B23" s="175" t="s">
        <v>18</v>
      </c>
      <c r="C23" s="179"/>
      <c r="D23" s="167"/>
      <c r="E23" s="167"/>
      <c r="F23" s="168"/>
      <c r="G23" s="168"/>
      <c r="H23" s="168"/>
      <c r="I23" s="168"/>
      <c r="J23" s="168"/>
      <c r="K23" s="168"/>
      <c r="L23" s="168"/>
      <c r="M23" s="168"/>
      <c r="N23" s="180"/>
      <c r="O23" s="184"/>
    </row>
    <row r="24" spans="1:15" x14ac:dyDescent="0.25">
      <c r="A24" s="172">
        <v>22</v>
      </c>
      <c r="B24" s="175" t="s">
        <v>19</v>
      </c>
      <c r="C24" s="179"/>
      <c r="D24" s="167"/>
      <c r="E24" s="167"/>
      <c r="F24" s="168"/>
      <c r="G24" s="168"/>
      <c r="H24" s="168"/>
      <c r="I24" s="168"/>
      <c r="J24" s="168"/>
      <c r="K24" s="168"/>
      <c r="L24" s="168"/>
      <c r="M24" s="168"/>
      <c r="N24" s="180"/>
      <c r="O24" s="184"/>
    </row>
    <row r="25" spans="1:15" x14ac:dyDescent="0.25">
      <c r="A25" s="172">
        <v>23</v>
      </c>
      <c r="B25" s="175" t="s">
        <v>43</v>
      </c>
      <c r="C25" s="179"/>
      <c r="D25" s="167"/>
      <c r="E25" s="167"/>
      <c r="F25" s="168"/>
      <c r="G25" s="168"/>
      <c r="H25" s="168"/>
      <c r="I25" s="168"/>
      <c r="J25" s="168"/>
      <c r="K25" s="168"/>
      <c r="L25" s="168"/>
      <c r="M25" s="168"/>
      <c r="N25" s="180"/>
      <c r="O25" s="184"/>
    </row>
    <row r="26" spans="1:15" x14ac:dyDescent="0.25">
      <c r="A26" s="172">
        <v>24</v>
      </c>
      <c r="B26" s="175" t="s">
        <v>44</v>
      </c>
      <c r="C26" s="179"/>
      <c r="D26" s="167"/>
      <c r="E26" s="167"/>
      <c r="F26" s="168"/>
      <c r="G26" s="168"/>
      <c r="H26" s="168"/>
      <c r="I26" s="168"/>
      <c r="J26" s="168"/>
      <c r="K26" s="168"/>
      <c r="L26" s="168"/>
      <c r="M26" s="168"/>
      <c r="N26" s="180"/>
      <c r="O26" s="184"/>
    </row>
    <row r="27" spans="1:15" x14ac:dyDescent="0.25">
      <c r="A27" s="172">
        <v>25</v>
      </c>
      <c r="B27" s="175" t="s">
        <v>20</v>
      </c>
      <c r="C27" s="179"/>
      <c r="D27" s="167"/>
      <c r="E27" s="167"/>
      <c r="F27" s="168"/>
      <c r="G27" s="168"/>
      <c r="H27" s="168"/>
      <c r="I27" s="168"/>
      <c r="J27" s="168"/>
      <c r="K27" s="168"/>
      <c r="L27" s="168"/>
      <c r="M27" s="168"/>
      <c r="N27" s="180"/>
      <c r="O27" s="184"/>
    </row>
    <row r="28" spans="1:15" x14ac:dyDescent="0.25">
      <c r="A28" s="172">
        <v>26</v>
      </c>
      <c r="B28" s="175" t="s">
        <v>45</v>
      </c>
      <c r="C28" s="179"/>
      <c r="D28" s="167"/>
      <c r="E28" s="167"/>
      <c r="F28" s="168"/>
      <c r="G28" s="168"/>
      <c r="H28" s="168"/>
      <c r="I28" s="168"/>
      <c r="J28" s="168"/>
      <c r="K28" s="168"/>
      <c r="L28" s="168"/>
      <c r="M28" s="168"/>
      <c r="N28" s="180"/>
      <c r="O28" s="184"/>
    </row>
    <row r="29" spans="1:15" x14ac:dyDescent="0.25">
      <c r="A29" s="172">
        <v>27</v>
      </c>
      <c r="B29" s="175" t="s">
        <v>46</v>
      </c>
      <c r="C29" s="179"/>
      <c r="D29" s="167"/>
      <c r="E29" s="167"/>
      <c r="F29" s="168"/>
      <c r="G29" s="168"/>
      <c r="H29" s="168"/>
      <c r="I29" s="168"/>
      <c r="J29" s="168"/>
      <c r="K29" s="168"/>
      <c r="L29" s="168"/>
      <c r="M29" s="168"/>
      <c r="N29" s="180"/>
      <c r="O29" s="184"/>
    </row>
    <row r="30" spans="1:15" x14ac:dyDescent="0.25">
      <c r="A30" s="172">
        <v>28</v>
      </c>
      <c r="B30" s="175" t="s">
        <v>47</v>
      </c>
      <c r="C30" s="179"/>
      <c r="D30" s="167"/>
      <c r="E30" s="167"/>
      <c r="F30" s="168"/>
      <c r="G30" s="168"/>
      <c r="H30" s="168"/>
      <c r="I30" s="168"/>
      <c r="J30" s="168"/>
      <c r="K30" s="168"/>
      <c r="L30" s="168"/>
      <c r="M30" s="168"/>
      <c r="N30" s="180"/>
      <c r="O30" s="184"/>
    </row>
    <row r="31" spans="1:15" x14ac:dyDescent="0.25">
      <c r="A31" s="172">
        <v>29</v>
      </c>
      <c r="B31" s="175" t="s">
        <v>48</v>
      </c>
      <c r="C31" s="179"/>
      <c r="D31" s="167"/>
      <c r="E31" s="167"/>
      <c r="F31" s="168"/>
      <c r="G31" s="168"/>
      <c r="H31" s="168"/>
      <c r="I31" s="168"/>
      <c r="J31" s="168"/>
      <c r="K31" s="168"/>
      <c r="L31" s="168"/>
      <c r="M31" s="168"/>
      <c r="N31" s="180"/>
      <c r="O31" s="184"/>
    </row>
    <row r="32" spans="1:15" x14ac:dyDescent="0.25">
      <c r="A32" s="172">
        <v>30</v>
      </c>
      <c r="B32" s="175" t="s">
        <v>50</v>
      </c>
      <c r="C32" s="179">
        <v>12560</v>
      </c>
      <c r="D32" s="167">
        <v>9800</v>
      </c>
      <c r="E32" s="167">
        <v>12760</v>
      </c>
      <c r="F32" s="168">
        <v>12530</v>
      </c>
      <c r="G32" s="168">
        <v>17100</v>
      </c>
      <c r="H32" s="168">
        <v>12500</v>
      </c>
      <c r="I32" s="168">
        <v>11720</v>
      </c>
      <c r="J32" s="168">
        <v>17470</v>
      </c>
      <c r="K32" s="168">
        <v>12320</v>
      </c>
      <c r="L32" s="168">
        <v>14660</v>
      </c>
      <c r="M32" s="168">
        <v>10200</v>
      </c>
      <c r="N32" s="180">
        <v>12420</v>
      </c>
      <c r="O32" s="184">
        <f>SUM(Tabla911[[#This Row],[Gener]:[Desembre]])</f>
        <v>156040</v>
      </c>
    </row>
    <row r="33" spans="1:15" x14ac:dyDescent="0.25">
      <c r="A33" s="172">
        <v>31</v>
      </c>
      <c r="B33" s="175" t="s">
        <v>51</v>
      </c>
      <c r="C33" s="179"/>
      <c r="D33" s="167"/>
      <c r="E33" s="167"/>
      <c r="F33" s="168"/>
      <c r="G33" s="168"/>
      <c r="H33" s="168"/>
      <c r="I33" s="168"/>
      <c r="J33" s="168"/>
      <c r="K33" s="168"/>
      <c r="L33" s="168"/>
      <c r="M33" s="168"/>
      <c r="N33" s="180"/>
      <c r="O33" s="184"/>
    </row>
    <row r="34" spans="1:15" x14ac:dyDescent="0.25">
      <c r="A34" s="172">
        <v>32</v>
      </c>
      <c r="B34" s="175" t="s">
        <v>52</v>
      </c>
      <c r="C34" s="179"/>
      <c r="D34" s="167"/>
      <c r="E34" s="167"/>
      <c r="F34" s="168"/>
      <c r="G34" s="168"/>
      <c r="H34" s="168"/>
      <c r="I34" s="168"/>
      <c r="J34" s="168"/>
      <c r="K34" s="168"/>
      <c r="L34" s="168"/>
      <c r="M34" s="168"/>
      <c r="N34" s="180"/>
      <c r="O34" s="184"/>
    </row>
    <row r="35" spans="1:15" x14ac:dyDescent="0.25">
      <c r="A35" s="172">
        <v>33</v>
      </c>
      <c r="B35" s="175" t="s">
        <v>21</v>
      </c>
      <c r="C35" s="179"/>
      <c r="D35" s="167"/>
      <c r="E35" s="167"/>
      <c r="F35" s="168"/>
      <c r="G35" s="168"/>
      <c r="H35" s="168"/>
      <c r="I35" s="210"/>
      <c r="J35" s="210"/>
      <c r="K35" s="168"/>
      <c r="L35" s="168"/>
      <c r="M35" s="168"/>
      <c r="N35" s="180"/>
      <c r="O35" s="184"/>
    </row>
    <row r="36" spans="1:15" x14ac:dyDescent="0.25">
      <c r="A36" s="172">
        <v>34</v>
      </c>
      <c r="B36" s="175" t="s">
        <v>22</v>
      </c>
      <c r="C36" s="179"/>
      <c r="D36" s="167"/>
      <c r="E36" s="167"/>
      <c r="F36" s="168"/>
      <c r="G36" s="168"/>
      <c r="H36" s="168"/>
      <c r="I36" s="168"/>
      <c r="J36" s="168"/>
      <c r="K36" s="168"/>
      <c r="L36" s="168"/>
      <c r="M36" s="168"/>
      <c r="N36" s="180"/>
      <c r="O36" s="184"/>
    </row>
    <row r="37" spans="1:15" x14ac:dyDescent="0.25">
      <c r="A37" s="172">
        <v>35</v>
      </c>
      <c r="B37" s="175" t="s">
        <v>23</v>
      </c>
      <c r="C37" s="179"/>
      <c r="D37" s="167"/>
      <c r="E37" s="167"/>
      <c r="F37" s="168"/>
      <c r="G37" s="168"/>
      <c r="H37" s="168"/>
      <c r="I37" s="168"/>
      <c r="J37" s="168"/>
      <c r="K37" s="168"/>
      <c r="L37" s="168"/>
      <c r="M37" s="168"/>
      <c r="N37" s="180"/>
      <c r="O37" s="184"/>
    </row>
    <row r="38" spans="1:15" x14ac:dyDescent="0.25">
      <c r="A38" s="172">
        <v>36</v>
      </c>
      <c r="B38" s="175" t="s">
        <v>24</v>
      </c>
      <c r="C38" s="179"/>
      <c r="D38" s="167"/>
      <c r="E38" s="167"/>
      <c r="F38" s="168"/>
      <c r="G38" s="168"/>
      <c r="H38" s="168"/>
      <c r="I38" s="168"/>
      <c r="J38" s="168"/>
      <c r="K38" s="168"/>
      <c r="L38" s="168"/>
      <c r="M38" s="168"/>
      <c r="N38" s="180"/>
      <c r="O38" s="184"/>
    </row>
    <row r="39" spans="1:15" x14ac:dyDescent="0.25">
      <c r="A39" s="172">
        <v>37</v>
      </c>
      <c r="B39" s="175" t="s">
        <v>25</v>
      </c>
      <c r="C39" s="179">
        <v>3160</v>
      </c>
      <c r="D39" s="167">
        <v>2580</v>
      </c>
      <c r="E39" s="167">
        <v>3240</v>
      </c>
      <c r="F39" s="168">
        <v>3100</v>
      </c>
      <c r="G39" s="168">
        <v>3740</v>
      </c>
      <c r="H39" s="168">
        <v>3040</v>
      </c>
      <c r="I39" s="168">
        <v>4660</v>
      </c>
      <c r="J39" s="168">
        <v>2940</v>
      </c>
      <c r="K39" s="168">
        <v>1520</v>
      </c>
      <c r="L39" s="168">
        <v>2140</v>
      </c>
      <c r="M39" s="168">
        <v>1960</v>
      </c>
      <c r="N39" s="180">
        <v>2280</v>
      </c>
      <c r="O39" s="184">
        <f>SUM(Tabla911[[#This Row],[Gener]:[Desembre]])</f>
        <v>34360</v>
      </c>
    </row>
    <row r="40" spans="1:15" x14ac:dyDescent="0.25">
      <c r="A40" s="172">
        <v>38</v>
      </c>
      <c r="B40" s="175" t="s">
        <v>5</v>
      </c>
      <c r="C40" s="179"/>
      <c r="D40" s="167"/>
      <c r="E40" s="167"/>
      <c r="F40" s="168"/>
      <c r="G40" s="168"/>
      <c r="H40" s="168"/>
      <c r="I40" s="168"/>
      <c r="J40" s="168"/>
      <c r="K40" s="168"/>
      <c r="L40" s="168"/>
      <c r="M40" s="168"/>
      <c r="N40" s="180"/>
      <c r="O40" s="184"/>
    </row>
    <row r="41" spans="1:15" x14ac:dyDescent="0.25">
      <c r="A41" s="172">
        <v>39</v>
      </c>
      <c r="B41" s="175" t="s">
        <v>6</v>
      </c>
      <c r="C41" s="179"/>
      <c r="D41" s="167"/>
      <c r="E41" s="167"/>
      <c r="F41" s="168"/>
      <c r="G41" s="168"/>
      <c r="H41" s="168"/>
      <c r="I41" s="168"/>
      <c r="J41" s="168"/>
      <c r="K41" s="168"/>
      <c r="L41" s="168"/>
      <c r="M41" s="168"/>
      <c r="N41" s="180"/>
      <c r="O41" s="184"/>
    </row>
    <row r="42" spans="1:15" x14ac:dyDescent="0.25">
      <c r="A42" s="172">
        <v>40</v>
      </c>
      <c r="B42" s="175" t="s">
        <v>8</v>
      </c>
      <c r="C42" s="179"/>
      <c r="D42" s="167"/>
      <c r="E42" s="167"/>
      <c r="F42" s="168"/>
      <c r="G42" s="168"/>
      <c r="H42" s="168"/>
      <c r="I42" s="210"/>
      <c r="J42" s="210"/>
      <c r="K42" s="168"/>
      <c r="L42" s="168"/>
      <c r="M42" s="168"/>
      <c r="N42" s="180"/>
      <c r="O42" s="184"/>
    </row>
    <row r="43" spans="1:15" ht="15.75" thickBot="1" x14ac:dyDescent="0.3">
      <c r="A43" s="173">
        <v>41</v>
      </c>
      <c r="B43" s="176" t="s">
        <v>49</v>
      </c>
      <c r="C43" s="181"/>
      <c r="D43" s="169"/>
      <c r="E43" s="169"/>
      <c r="F43" s="170"/>
      <c r="G43" s="170"/>
      <c r="H43" s="170"/>
      <c r="I43" s="170"/>
      <c r="J43" s="170"/>
      <c r="K43" s="170"/>
      <c r="L43" s="170"/>
      <c r="M43" s="170"/>
      <c r="N43" s="182"/>
      <c r="O43" s="185"/>
    </row>
    <row r="44" spans="1:15" s="59" customFormat="1" ht="15.75" thickBot="1" x14ac:dyDescent="0.3">
      <c r="A44" s="288"/>
      <c r="B44" s="285" t="s">
        <v>71</v>
      </c>
      <c r="C44" s="163">
        <f t="shared" ref="C44:N44" si="0">SUBTOTAL(109,C4:C43)</f>
        <v>44180</v>
      </c>
      <c r="D44" s="164">
        <f t="shared" si="0"/>
        <v>45600</v>
      </c>
      <c r="E44" s="164">
        <f t="shared" si="0"/>
        <v>59780</v>
      </c>
      <c r="F44" s="164">
        <f t="shared" si="0"/>
        <v>56270</v>
      </c>
      <c r="G44" s="164">
        <f t="shared" si="0"/>
        <v>64820</v>
      </c>
      <c r="H44" s="164">
        <f t="shared" si="0"/>
        <v>56480</v>
      </c>
      <c r="I44" s="164">
        <f t="shared" si="0"/>
        <v>51660</v>
      </c>
      <c r="J44" s="164">
        <f t="shared" si="0"/>
        <v>58790</v>
      </c>
      <c r="K44" s="164">
        <f t="shared" si="0"/>
        <v>44720</v>
      </c>
      <c r="L44" s="164">
        <f t="shared" si="0"/>
        <v>48060</v>
      </c>
      <c r="M44" s="164">
        <f t="shared" si="0"/>
        <v>52180</v>
      </c>
      <c r="N44" s="164">
        <f t="shared" si="0"/>
        <v>46600</v>
      </c>
      <c r="O44" s="119">
        <f>SUBTOTAL(109,O4:O43)</f>
        <v>629140</v>
      </c>
    </row>
    <row r="45" spans="1:15" ht="15.75" thickBot="1" x14ac:dyDescent="0.3">
      <c r="A45" s="289"/>
      <c r="B45" s="286" t="s">
        <v>69</v>
      </c>
      <c r="C45" s="29">
        <v>38400</v>
      </c>
      <c r="D45" s="30">
        <v>45880</v>
      </c>
      <c r="E45" s="30">
        <v>46320</v>
      </c>
      <c r="F45" s="30">
        <v>62140</v>
      </c>
      <c r="G45" s="30">
        <v>79640</v>
      </c>
      <c r="H45" s="30">
        <v>76700</v>
      </c>
      <c r="I45" s="30">
        <v>58280</v>
      </c>
      <c r="J45" s="30">
        <v>56780</v>
      </c>
      <c r="K45" s="30">
        <v>54120</v>
      </c>
      <c r="L45" s="30">
        <v>53468</v>
      </c>
      <c r="M45" s="30">
        <v>62300</v>
      </c>
      <c r="N45" s="31">
        <v>50900</v>
      </c>
      <c r="O45" s="32">
        <f>SUM(Tabla911[[#This Row],[Gener]:[Desembre]])</f>
        <v>684928</v>
      </c>
    </row>
    <row r="46" spans="1:15" ht="15.75" thickBot="1" x14ac:dyDescent="0.3">
      <c r="A46" s="290"/>
      <c r="B46" s="287" t="s">
        <v>58</v>
      </c>
      <c r="C46" s="131">
        <f t="shared" ref="C46:O46" si="1">(C44/C45)-1</f>
        <v>0.15052083333333344</v>
      </c>
      <c r="D46" s="132">
        <f t="shared" si="1"/>
        <v>-6.1028770706189617E-3</v>
      </c>
      <c r="E46" s="132">
        <f t="shared" si="1"/>
        <v>0.29058721934369602</v>
      </c>
      <c r="F46" s="132">
        <f t="shared" si="1"/>
        <v>-9.4464113292565211E-2</v>
      </c>
      <c r="G46" s="132">
        <f t="shared" si="1"/>
        <v>-0.18608739326971369</v>
      </c>
      <c r="H46" s="132">
        <f t="shared" si="1"/>
        <v>-0.26362451108213825</v>
      </c>
      <c r="I46" s="132">
        <f t="shared" si="1"/>
        <v>-0.1135895676046671</v>
      </c>
      <c r="J46" s="132">
        <f t="shared" si="1"/>
        <v>3.5399788657978215E-2</v>
      </c>
      <c r="K46" s="132">
        <f t="shared" si="1"/>
        <v>-0.17368810051736883</v>
      </c>
      <c r="L46" s="132">
        <f t="shared" si="1"/>
        <v>-0.10114460986010321</v>
      </c>
      <c r="M46" s="132">
        <f t="shared" si="1"/>
        <v>-0.16243980738362762</v>
      </c>
      <c r="N46" s="132">
        <f t="shared" si="1"/>
        <v>-8.4479371316306451E-2</v>
      </c>
      <c r="O46" s="225">
        <f t="shared" si="1"/>
        <v>-8.1450897028592761E-2</v>
      </c>
    </row>
    <row r="51" spans="16:16" x14ac:dyDescent="0.25">
      <c r="P51" s="62"/>
    </row>
  </sheetData>
  <sheetProtection password="C3D2" sheet="1" objects="1" scenarios="1"/>
  <conditionalFormatting sqref="C46:O46">
    <cfRule type="cellIs" dxfId="1" priority="1" operator="lessThan">
      <formula>0</formula>
    </cfRule>
  </conditionalFormatting>
  <pageMargins left="0.70866141732283472" right="0.70866141732283472" top="0.62" bottom="0.6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0"/>
  <sheetViews>
    <sheetView zoomScale="90" zoomScaleNormal="90" workbookViewId="0">
      <selection activeCell="M23" sqref="M23"/>
    </sheetView>
  </sheetViews>
  <sheetFormatPr baseColWidth="10" defaultColWidth="11.5703125" defaultRowHeight="15" x14ac:dyDescent="0.25"/>
  <cols>
    <col min="1" max="1" width="8.7109375" style="64" customWidth="1"/>
    <col min="2" max="2" width="25.85546875" style="64" bestFit="1" customWidth="1"/>
    <col min="3" max="14" width="10.7109375" style="67" customWidth="1"/>
    <col min="15" max="15" width="10.7109375" style="68" customWidth="1"/>
    <col min="16" max="1021" width="17" style="64" customWidth="1"/>
    <col min="1022" max="16384" width="11.5703125" style="64"/>
  </cols>
  <sheetData>
    <row r="1" spans="1:18" ht="15.75" x14ac:dyDescent="0.25">
      <c r="B1" s="63" t="s">
        <v>78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8" ht="15.75" thickBot="1" x14ac:dyDescent="0.3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1:18" ht="15.75" thickBot="1" x14ac:dyDescent="0.3">
      <c r="A3" s="194" t="s">
        <v>59</v>
      </c>
      <c r="B3" s="125" t="s">
        <v>57</v>
      </c>
      <c r="C3" s="198" t="s">
        <v>26</v>
      </c>
      <c r="D3" s="186" t="s">
        <v>27</v>
      </c>
      <c r="E3" s="186" t="s">
        <v>28</v>
      </c>
      <c r="F3" s="186" t="s">
        <v>29</v>
      </c>
      <c r="G3" s="186" t="s">
        <v>30</v>
      </c>
      <c r="H3" s="186" t="s">
        <v>31</v>
      </c>
      <c r="I3" s="186" t="s">
        <v>32</v>
      </c>
      <c r="J3" s="186" t="s">
        <v>33</v>
      </c>
      <c r="K3" s="186" t="s">
        <v>34</v>
      </c>
      <c r="L3" s="186" t="s">
        <v>35</v>
      </c>
      <c r="M3" s="186" t="s">
        <v>36</v>
      </c>
      <c r="N3" s="187" t="s">
        <v>37</v>
      </c>
      <c r="O3" s="126" t="s">
        <v>38</v>
      </c>
    </row>
    <row r="4" spans="1:18" x14ac:dyDescent="0.25">
      <c r="A4" s="195">
        <v>1</v>
      </c>
      <c r="B4" s="202" t="s">
        <v>39</v>
      </c>
      <c r="C4" s="199">
        <v>9180</v>
      </c>
      <c r="D4" s="188">
        <v>10620</v>
      </c>
      <c r="E4" s="188">
        <v>12180</v>
      </c>
      <c r="F4" s="188">
        <v>11480</v>
      </c>
      <c r="G4" s="188">
        <v>11760</v>
      </c>
      <c r="H4" s="188">
        <v>10140</v>
      </c>
      <c r="I4" s="188">
        <v>17440</v>
      </c>
      <c r="J4" s="188">
        <v>12300</v>
      </c>
      <c r="K4" s="188">
        <v>14380</v>
      </c>
      <c r="L4" s="188">
        <v>15480</v>
      </c>
      <c r="M4" s="188">
        <v>13340</v>
      </c>
      <c r="N4" s="188">
        <v>14580</v>
      </c>
      <c r="O4" s="189">
        <f>SUM(Tabla91112[[#This Row],[Gener]:[Desembre]])</f>
        <v>152880</v>
      </c>
      <c r="Q4" s="279"/>
      <c r="R4" s="280"/>
    </row>
    <row r="5" spans="1:18" x14ac:dyDescent="0.25">
      <c r="A5" s="196">
        <v>2</v>
      </c>
      <c r="B5" s="203" t="s">
        <v>0</v>
      </c>
      <c r="C5" s="20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  <c r="Q5" s="279"/>
      <c r="R5" s="280"/>
    </row>
    <row r="6" spans="1:18" x14ac:dyDescent="0.25">
      <c r="A6" s="196">
        <v>3</v>
      </c>
      <c r="B6" s="203" t="s">
        <v>1</v>
      </c>
      <c r="C6" s="20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Q6" s="279"/>
      <c r="R6" s="280"/>
    </row>
    <row r="7" spans="1:18" x14ac:dyDescent="0.25">
      <c r="A7" s="196">
        <v>4</v>
      </c>
      <c r="B7" s="203" t="s">
        <v>2</v>
      </c>
      <c r="C7" s="20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Q7" s="279"/>
      <c r="R7" s="280"/>
    </row>
    <row r="8" spans="1:18" x14ac:dyDescent="0.25">
      <c r="A8" s="196">
        <v>5</v>
      </c>
      <c r="B8" s="203" t="s">
        <v>3</v>
      </c>
      <c r="C8" s="20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Q8" s="279"/>
      <c r="R8" s="280"/>
    </row>
    <row r="9" spans="1:18" x14ac:dyDescent="0.25">
      <c r="A9" s="196">
        <v>6</v>
      </c>
      <c r="B9" s="203" t="s">
        <v>4</v>
      </c>
      <c r="C9" s="20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  <c r="Q9" s="282"/>
    </row>
    <row r="10" spans="1:18" x14ac:dyDescent="0.25">
      <c r="A10" s="196">
        <v>8</v>
      </c>
      <c r="B10" s="203" t="s">
        <v>7</v>
      </c>
      <c r="C10" s="20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</row>
    <row r="11" spans="1:18" x14ac:dyDescent="0.25">
      <c r="A11" s="196">
        <v>9</v>
      </c>
      <c r="B11" s="203" t="s">
        <v>40</v>
      </c>
      <c r="C11" s="20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</row>
    <row r="12" spans="1:18" x14ac:dyDescent="0.25">
      <c r="A12" s="196">
        <v>10</v>
      </c>
      <c r="B12" s="203" t="s">
        <v>41</v>
      </c>
      <c r="C12" s="20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</row>
    <row r="13" spans="1:18" x14ac:dyDescent="0.25">
      <c r="A13" s="196">
        <v>11</v>
      </c>
      <c r="B13" s="203" t="s">
        <v>9</v>
      </c>
      <c r="C13" s="20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/>
    </row>
    <row r="14" spans="1:18" x14ac:dyDescent="0.25">
      <c r="A14" s="196">
        <v>12</v>
      </c>
      <c r="B14" s="203" t="s">
        <v>10</v>
      </c>
      <c r="C14" s="20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1"/>
    </row>
    <row r="15" spans="1:18" x14ac:dyDescent="0.25">
      <c r="A15" s="196">
        <v>13</v>
      </c>
      <c r="B15" s="203" t="s">
        <v>42</v>
      </c>
      <c r="C15" s="20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1"/>
    </row>
    <row r="16" spans="1:18" x14ac:dyDescent="0.25">
      <c r="A16" s="196">
        <v>14</v>
      </c>
      <c r="B16" s="203" t="s">
        <v>11</v>
      </c>
      <c r="C16" s="20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</row>
    <row r="17" spans="1:15" x14ac:dyDescent="0.25">
      <c r="A17" s="196">
        <v>15</v>
      </c>
      <c r="B17" s="203" t="s">
        <v>12</v>
      </c>
      <c r="C17" s="20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</row>
    <row r="18" spans="1:15" x14ac:dyDescent="0.25">
      <c r="A18" s="196">
        <v>16</v>
      </c>
      <c r="B18" s="203" t="s">
        <v>13</v>
      </c>
      <c r="C18" s="20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1"/>
    </row>
    <row r="19" spans="1:15" x14ac:dyDescent="0.25">
      <c r="A19" s="196">
        <v>17</v>
      </c>
      <c r="B19" s="203" t="s">
        <v>14</v>
      </c>
      <c r="C19" s="20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</row>
    <row r="20" spans="1:15" x14ac:dyDescent="0.25">
      <c r="A20" s="196">
        <v>18</v>
      </c>
      <c r="B20" s="203" t="s">
        <v>15</v>
      </c>
      <c r="C20" s="20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</row>
    <row r="21" spans="1:15" x14ac:dyDescent="0.25">
      <c r="A21" s="196">
        <v>19</v>
      </c>
      <c r="B21" s="203" t="s">
        <v>16</v>
      </c>
      <c r="C21" s="20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1"/>
    </row>
    <row r="22" spans="1:15" x14ac:dyDescent="0.25">
      <c r="A22" s="196">
        <v>20</v>
      </c>
      <c r="B22" s="203" t="s">
        <v>17</v>
      </c>
      <c r="C22" s="20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</row>
    <row r="23" spans="1:15" x14ac:dyDescent="0.25">
      <c r="A23" s="196">
        <v>21</v>
      </c>
      <c r="B23" s="203" t="s">
        <v>18</v>
      </c>
      <c r="C23" s="20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</row>
    <row r="24" spans="1:15" x14ac:dyDescent="0.25">
      <c r="A24" s="196">
        <v>22</v>
      </c>
      <c r="B24" s="203" t="s">
        <v>19</v>
      </c>
      <c r="C24" s="20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1"/>
    </row>
    <row r="25" spans="1:15" x14ac:dyDescent="0.25">
      <c r="A25" s="196">
        <v>23</v>
      </c>
      <c r="B25" s="203" t="s">
        <v>43</v>
      </c>
      <c r="C25" s="20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</row>
    <row r="26" spans="1:15" x14ac:dyDescent="0.25">
      <c r="A26" s="196">
        <v>24</v>
      </c>
      <c r="B26" s="203" t="s">
        <v>44</v>
      </c>
      <c r="C26" s="200">
        <v>3860</v>
      </c>
      <c r="D26" s="190">
        <v>2950</v>
      </c>
      <c r="E26" s="190">
        <v>3660</v>
      </c>
      <c r="F26" s="190">
        <v>3980</v>
      </c>
      <c r="G26" s="190">
        <v>6040</v>
      </c>
      <c r="H26" s="190">
        <v>6080</v>
      </c>
      <c r="I26" s="190">
        <v>1580</v>
      </c>
      <c r="J26" s="190">
        <v>5440</v>
      </c>
      <c r="K26" s="190">
        <v>6620</v>
      </c>
      <c r="L26" s="190">
        <v>3620</v>
      </c>
      <c r="M26" s="190">
        <v>1160</v>
      </c>
      <c r="N26" s="190">
        <v>5420</v>
      </c>
      <c r="O26" s="191">
        <f>SUM(Tabla91112[[#This Row],[Gener]:[Desembre]])</f>
        <v>50410</v>
      </c>
    </row>
    <row r="27" spans="1:15" x14ac:dyDescent="0.25">
      <c r="A27" s="196">
        <v>25</v>
      </c>
      <c r="B27" s="203" t="s">
        <v>20</v>
      </c>
      <c r="C27" s="20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</row>
    <row r="28" spans="1:15" x14ac:dyDescent="0.25">
      <c r="A28" s="196">
        <v>26</v>
      </c>
      <c r="B28" s="203" t="s">
        <v>45</v>
      </c>
      <c r="C28" s="200"/>
      <c r="D28" s="190"/>
      <c r="E28" s="190"/>
      <c r="F28" s="190"/>
      <c r="G28" s="190"/>
      <c r="H28" s="190"/>
      <c r="I28" s="190"/>
      <c r="J28" s="211"/>
      <c r="K28" s="190"/>
      <c r="L28" s="190"/>
      <c r="M28" s="190"/>
      <c r="N28" s="190"/>
      <c r="O28" s="191"/>
    </row>
    <row r="29" spans="1:15" x14ac:dyDescent="0.25">
      <c r="A29" s="196">
        <v>27</v>
      </c>
      <c r="B29" s="203" t="s">
        <v>46</v>
      </c>
      <c r="C29" s="20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1"/>
    </row>
    <row r="30" spans="1:15" x14ac:dyDescent="0.25">
      <c r="A30" s="196">
        <v>28</v>
      </c>
      <c r="B30" s="203" t="s">
        <v>47</v>
      </c>
      <c r="C30" s="20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</row>
    <row r="31" spans="1:15" x14ac:dyDescent="0.25">
      <c r="A31" s="196">
        <v>29</v>
      </c>
      <c r="B31" s="203" t="s">
        <v>48</v>
      </c>
      <c r="C31" s="20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1"/>
    </row>
    <row r="32" spans="1:15" x14ac:dyDescent="0.25">
      <c r="A32" s="196">
        <v>30</v>
      </c>
      <c r="B32" s="203" t="s">
        <v>50</v>
      </c>
      <c r="C32" s="20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1"/>
    </row>
    <row r="33" spans="1:15" x14ac:dyDescent="0.25">
      <c r="A33" s="196">
        <v>31</v>
      </c>
      <c r="B33" s="203" t="s">
        <v>51</v>
      </c>
      <c r="C33" s="20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1"/>
    </row>
    <row r="34" spans="1:15" x14ac:dyDescent="0.25">
      <c r="A34" s="196">
        <v>32</v>
      </c>
      <c r="B34" s="203" t="s">
        <v>52</v>
      </c>
      <c r="C34" s="20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1"/>
    </row>
    <row r="35" spans="1:15" x14ac:dyDescent="0.25">
      <c r="A35" s="196">
        <v>33</v>
      </c>
      <c r="B35" s="203" t="s">
        <v>21</v>
      </c>
      <c r="C35" s="20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1"/>
    </row>
    <row r="36" spans="1:15" x14ac:dyDescent="0.25">
      <c r="A36" s="196">
        <v>34</v>
      </c>
      <c r="B36" s="203" t="s">
        <v>22</v>
      </c>
      <c r="C36" s="200">
        <v>8000</v>
      </c>
      <c r="D36" s="190">
        <v>6280</v>
      </c>
      <c r="E36" s="190">
        <v>9000</v>
      </c>
      <c r="F36" s="190">
        <v>14080</v>
      </c>
      <c r="G36" s="190">
        <v>10460</v>
      </c>
      <c r="H36" s="190">
        <v>8360</v>
      </c>
      <c r="I36" s="190">
        <v>10180</v>
      </c>
      <c r="J36" s="190">
        <v>10720</v>
      </c>
      <c r="K36" s="190">
        <v>11220</v>
      </c>
      <c r="L36" s="190">
        <v>11160</v>
      </c>
      <c r="M36" s="190">
        <v>12580</v>
      </c>
      <c r="N36" s="190">
        <v>7720</v>
      </c>
      <c r="O36" s="191">
        <f>SUM(Tabla91112[[#This Row],[Gener]:[Desembre]])</f>
        <v>119760</v>
      </c>
    </row>
    <row r="37" spans="1:15" x14ac:dyDescent="0.25">
      <c r="A37" s="196">
        <v>35</v>
      </c>
      <c r="B37" s="203" t="s">
        <v>23</v>
      </c>
      <c r="C37" s="20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1"/>
    </row>
    <row r="38" spans="1:15" x14ac:dyDescent="0.25">
      <c r="A38" s="196">
        <v>36</v>
      </c>
      <c r="B38" s="203" t="s">
        <v>24</v>
      </c>
      <c r="C38" s="20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1:15" x14ac:dyDescent="0.25">
      <c r="A39" s="196">
        <v>37</v>
      </c>
      <c r="B39" s="203" t="s">
        <v>25</v>
      </c>
      <c r="C39" s="200"/>
      <c r="D39" s="190"/>
      <c r="E39" s="190"/>
      <c r="F39" s="190"/>
      <c r="G39" s="190"/>
      <c r="H39" s="190"/>
      <c r="I39" s="190"/>
      <c r="J39" s="211"/>
      <c r="K39" s="190"/>
      <c r="L39" s="190"/>
      <c r="M39" s="190"/>
      <c r="N39" s="190"/>
      <c r="O39" s="191"/>
    </row>
    <row r="40" spans="1:15" x14ac:dyDescent="0.25">
      <c r="A40" s="196">
        <v>38</v>
      </c>
      <c r="B40" s="203" t="s">
        <v>5</v>
      </c>
      <c r="C40" s="20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1"/>
    </row>
    <row r="41" spans="1:15" x14ac:dyDescent="0.25">
      <c r="A41" s="196">
        <v>39</v>
      </c>
      <c r="B41" s="203" t="s">
        <v>6</v>
      </c>
      <c r="C41" s="20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1"/>
    </row>
    <row r="42" spans="1:15" x14ac:dyDescent="0.25">
      <c r="A42" s="196">
        <v>40</v>
      </c>
      <c r="B42" s="203" t="s">
        <v>8</v>
      </c>
      <c r="C42" s="20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1"/>
    </row>
    <row r="43" spans="1:15" s="65" customFormat="1" ht="15.75" thickBot="1" x14ac:dyDescent="0.3">
      <c r="A43" s="197">
        <v>41</v>
      </c>
      <c r="B43" s="204" t="s">
        <v>49</v>
      </c>
      <c r="C43" s="201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3"/>
    </row>
    <row r="44" spans="1:15" ht="15.75" thickBot="1" x14ac:dyDescent="0.3">
      <c r="A44" s="291"/>
      <c r="B44" s="127" t="s">
        <v>71</v>
      </c>
      <c r="C44" s="128">
        <f>SUBTOTAL(109,C4:C43)</f>
        <v>21040</v>
      </c>
      <c r="D44" s="129">
        <f>SUBTOTAL(109,D4:D43)</f>
        <v>19850</v>
      </c>
      <c r="E44" s="129">
        <f t="shared" ref="E44:N44" si="0">SUBTOTAL(109,E4:E43)</f>
        <v>24840</v>
      </c>
      <c r="F44" s="129">
        <f t="shared" si="0"/>
        <v>29540</v>
      </c>
      <c r="G44" s="129">
        <f t="shared" si="0"/>
        <v>28260</v>
      </c>
      <c r="H44" s="129">
        <f t="shared" si="0"/>
        <v>24580</v>
      </c>
      <c r="I44" s="129">
        <f t="shared" si="0"/>
        <v>29200</v>
      </c>
      <c r="J44" s="129">
        <f t="shared" si="0"/>
        <v>28460</v>
      </c>
      <c r="K44" s="129">
        <f t="shared" si="0"/>
        <v>32220</v>
      </c>
      <c r="L44" s="129">
        <f t="shared" si="0"/>
        <v>30260</v>
      </c>
      <c r="M44" s="129">
        <f t="shared" si="0"/>
        <v>27080</v>
      </c>
      <c r="N44" s="129">
        <f t="shared" si="0"/>
        <v>27720</v>
      </c>
      <c r="O44" s="130">
        <f>SUM(Tabla91112[[#This Row],[Gener]:[Desembre]])</f>
        <v>323050</v>
      </c>
    </row>
    <row r="45" spans="1:15" ht="15.75" thickBot="1" x14ac:dyDescent="0.3">
      <c r="A45" s="289"/>
      <c r="B45" s="48" t="s">
        <v>69</v>
      </c>
      <c r="C45" s="44">
        <v>18740</v>
      </c>
      <c r="D45" s="37">
        <v>20100</v>
      </c>
      <c r="E45" s="37">
        <v>17260</v>
      </c>
      <c r="F45" s="37">
        <v>24460</v>
      </c>
      <c r="G45" s="37">
        <v>27540</v>
      </c>
      <c r="H45" s="37">
        <v>33100</v>
      </c>
      <c r="I45" s="37">
        <v>30510</v>
      </c>
      <c r="J45" s="37">
        <v>34470</v>
      </c>
      <c r="K45" s="37">
        <v>31280</v>
      </c>
      <c r="L45" s="37">
        <v>29560</v>
      </c>
      <c r="M45" s="37">
        <v>23780</v>
      </c>
      <c r="N45" s="39">
        <v>23660</v>
      </c>
      <c r="O45" s="41">
        <f>SUM(Tabla91112[[#This Row],[Gener]:[Desembre]])</f>
        <v>314460</v>
      </c>
    </row>
    <row r="46" spans="1:15" ht="15.75" thickBot="1" x14ac:dyDescent="0.3">
      <c r="A46" s="290"/>
      <c r="B46" s="82" t="s">
        <v>58</v>
      </c>
      <c r="C46" s="84">
        <f t="shared" ref="C46:O46" si="1">(C44/C45)-1</f>
        <v>0.12273212379935972</v>
      </c>
      <c r="D46" s="84">
        <f t="shared" si="1"/>
        <v>-1.2437810945273631E-2</v>
      </c>
      <c r="E46" s="84">
        <f t="shared" si="1"/>
        <v>0.43916570104287378</v>
      </c>
      <c r="F46" s="84">
        <f t="shared" si="1"/>
        <v>0.20768601798855268</v>
      </c>
      <c r="G46" s="84">
        <f t="shared" si="1"/>
        <v>2.614379084967311E-2</v>
      </c>
      <c r="H46" s="84">
        <f t="shared" si="1"/>
        <v>-0.25740181268882179</v>
      </c>
      <c r="I46" s="84">
        <f t="shared" si="1"/>
        <v>-4.2936742051786325E-2</v>
      </c>
      <c r="J46" s="84">
        <f t="shared" si="1"/>
        <v>-0.17435451116913259</v>
      </c>
      <c r="K46" s="84">
        <f t="shared" si="1"/>
        <v>3.0051150895140655E-2</v>
      </c>
      <c r="L46" s="84">
        <f t="shared" si="1"/>
        <v>2.3680649526387043E-2</v>
      </c>
      <c r="M46" s="84">
        <f t="shared" si="1"/>
        <v>0.13877207737594621</v>
      </c>
      <c r="N46" s="84">
        <f t="shared" si="1"/>
        <v>0.17159763313609466</v>
      </c>
      <c r="O46" s="84">
        <f t="shared" si="1"/>
        <v>2.731666984672132E-2</v>
      </c>
    </row>
    <row r="50" spans="16:16" x14ac:dyDescent="0.25">
      <c r="P50" s="66"/>
    </row>
  </sheetData>
  <sheetProtection password="C3D2" sheet="1" objects="1" scenarios="1"/>
  <conditionalFormatting sqref="C46:O46">
    <cfRule type="cellIs" dxfId="0" priority="1" operator="lessThan">
      <formula>0</formula>
    </cfRule>
  </conditionalFormatting>
  <pageMargins left="0.55118110236220474" right="0.35433070866141736" top="0.55000000000000004" bottom="0.57999999999999996" header="0.19685039370078741" footer="0.42"/>
  <pageSetup paperSize="9" scale="75" fitToWidth="0" fitToHeight="0" orientation="landscape" r:id="rId1"/>
  <headerFooter alignWithMargins="0"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 2021</vt:lpstr>
      <vt:lpstr>PAPER I CARTRÓ</vt:lpstr>
      <vt:lpstr>PAPER I CARTRÓ PORTA A PORTA</vt:lpstr>
      <vt:lpstr>ENVASOS</vt:lpstr>
      <vt:lpstr>VIDRE</vt:lpstr>
      <vt:lpstr>RMO</vt:lpstr>
      <vt:lpstr>FORM</vt:lpstr>
      <vt:lpstr>VERD</vt:lpstr>
      <vt:lpstr>Voluminosos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2021-04-19T11:24:21Z</cp:lastPrinted>
  <dcterms:created xsi:type="dcterms:W3CDTF">2014-04-10T06:59:07Z</dcterms:created>
  <dcterms:modified xsi:type="dcterms:W3CDTF">2024-02-13T12:23:02Z</dcterms:modified>
</cp:coreProperties>
</file>