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erveicomarcaldedades\WEB SAVO\ARXIUS NOVA WEB SAVO\"/>
    </mc:Choice>
  </mc:AlternateContent>
  <xr:revisionPtr revIDLastSave="0" documentId="8_{9DEAC350-BF4C-4B0C-B2B6-ACC9EE89E70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PER I CARTRÓ" sheetId="1" r:id="rId1"/>
    <sheet name="PAPER I CARTRÓ PORTA A PORTA" sheetId="2" r:id="rId2"/>
    <sheet name="ENVASOS" sheetId="4" r:id="rId3"/>
    <sheet name="VIDRE" sheetId="3" r:id="rId4"/>
    <sheet name="FORM" sheetId="5" r:id="rId5"/>
    <sheet name="RMO" sheetId="6" r:id="rId6"/>
  </sheets>
  <definedNames>
    <definedName name="llInstal" localSheetId="4">#REF!</definedName>
    <definedName name="llInstal" localSheetId="1">#REF!</definedName>
    <definedName name="llInstal" localSheetId="5">#REF!</definedName>
    <definedName name="llInstal">#REF!</definedName>
    <definedName name="llInstalCodi" localSheetId="4">#REF!</definedName>
    <definedName name="llInstalCodi" localSheetId="1">#REF!</definedName>
    <definedName name="llInstalCodi" localSheetId="5">#REF!</definedName>
    <definedName name="llInstalCodi">#REF!</definedName>
    <definedName name="llTitulars" localSheetId="4">#REF!</definedName>
    <definedName name="llTitulars" localSheetId="1">#REF!</definedName>
    <definedName name="llTitulars" localSheetId="5">#REF!</definedName>
    <definedName name="llTitulars">#REF!</definedName>
    <definedName name="llTitularsCodi" localSheetId="1">#REF!</definedName>
    <definedName name="llTitularsCod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5" i="6" l="1"/>
  <c r="N44" i="6"/>
  <c r="N46" i="6" s="1"/>
  <c r="K44" i="6"/>
  <c r="K46" i="6" s="1"/>
  <c r="J44" i="6"/>
  <c r="J46" i="6" s="1"/>
  <c r="I44" i="6"/>
  <c r="I46" i="6" s="1"/>
  <c r="E44" i="6"/>
  <c r="E46" i="6" s="1"/>
  <c r="D44" i="6"/>
  <c r="D46" i="6" s="1"/>
  <c r="O43" i="6"/>
  <c r="O41" i="6"/>
  <c r="O38" i="6"/>
  <c r="O36" i="6"/>
  <c r="O35" i="6"/>
  <c r="O33" i="6"/>
  <c r="O32" i="6"/>
  <c r="O31" i="6"/>
  <c r="O29" i="6"/>
  <c r="O28" i="6"/>
  <c r="L26" i="6"/>
  <c r="G26" i="6"/>
  <c r="O24" i="6"/>
  <c r="O23" i="6"/>
  <c r="M21" i="6"/>
  <c r="M44" i="6" s="1"/>
  <c r="M46" i="6" s="1"/>
  <c r="L21" i="6"/>
  <c r="H21" i="6"/>
  <c r="H44" i="6" s="1"/>
  <c r="H46" i="6" s="1"/>
  <c r="G21" i="6"/>
  <c r="F21" i="6"/>
  <c r="F44" i="6" s="1"/>
  <c r="F46" i="6" s="1"/>
  <c r="C21" i="6"/>
  <c r="C44" i="6" s="1"/>
  <c r="O19" i="6"/>
  <c r="O10" i="6"/>
  <c r="O9" i="6"/>
  <c r="O7" i="6"/>
  <c r="O4" i="6"/>
  <c r="L44" i="6" l="1"/>
  <c r="L46" i="6" s="1"/>
  <c r="O26" i="6"/>
  <c r="G44" i="6"/>
  <c r="G46" i="6" s="1"/>
  <c r="C46" i="6"/>
  <c r="O21" i="6"/>
  <c r="I46" i="5"/>
  <c r="O45" i="5"/>
  <c r="N44" i="5"/>
  <c r="N46" i="5" s="1"/>
  <c r="K44" i="5"/>
  <c r="K46" i="5" s="1"/>
  <c r="J44" i="5"/>
  <c r="J46" i="5" s="1"/>
  <c r="I44" i="5"/>
  <c r="H44" i="5"/>
  <c r="H46" i="5" s="1"/>
  <c r="E44" i="5"/>
  <c r="E46" i="5" s="1"/>
  <c r="D44" i="5"/>
  <c r="D46" i="5" s="1"/>
  <c r="O43" i="5"/>
  <c r="O41" i="5"/>
  <c r="O38" i="5"/>
  <c r="O36" i="5"/>
  <c r="O33" i="5"/>
  <c r="O32" i="5"/>
  <c r="O31" i="5"/>
  <c r="O29" i="5"/>
  <c r="O28" i="5"/>
  <c r="M26" i="5"/>
  <c r="L26" i="5"/>
  <c r="G26" i="5"/>
  <c r="F26" i="5"/>
  <c r="F44" i="5" s="1"/>
  <c r="F46" i="5" s="1"/>
  <c r="C26" i="5"/>
  <c r="O23" i="5"/>
  <c r="M21" i="5"/>
  <c r="L21" i="5"/>
  <c r="G21" i="5"/>
  <c r="F21" i="5"/>
  <c r="C21" i="5"/>
  <c r="O19" i="5"/>
  <c r="O15" i="5"/>
  <c r="O10" i="5"/>
  <c r="O9" i="5"/>
  <c r="O7" i="5"/>
  <c r="O4" i="5"/>
  <c r="M44" i="5" l="1"/>
  <c r="M46" i="5" s="1"/>
  <c r="O44" i="6"/>
  <c r="O46" i="6" s="1"/>
  <c r="C44" i="5"/>
  <c r="C46" i="5" s="1"/>
  <c r="O26" i="5"/>
  <c r="O21" i="5"/>
  <c r="L44" i="5"/>
  <c r="L46" i="5" s="1"/>
  <c r="G44" i="5"/>
  <c r="G46" i="5" s="1"/>
  <c r="O44" i="5" l="1"/>
  <c r="O46" i="5" s="1"/>
  <c r="O47" i="4"/>
  <c r="O45" i="4"/>
  <c r="N44" i="4"/>
  <c r="N46" i="4" s="1"/>
  <c r="N48" i="4" s="1"/>
  <c r="L44" i="4"/>
  <c r="L46" i="4" s="1"/>
  <c r="L48" i="4" s="1"/>
  <c r="K44" i="4"/>
  <c r="K46" i="4" s="1"/>
  <c r="K48" i="4" s="1"/>
  <c r="J44" i="4"/>
  <c r="J46" i="4" s="1"/>
  <c r="J48" i="4" s="1"/>
  <c r="I44" i="4"/>
  <c r="I46" i="4" s="1"/>
  <c r="I48" i="4" s="1"/>
  <c r="H44" i="4"/>
  <c r="H46" i="4" s="1"/>
  <c r="H48" i="4" s="1"/>
  <c r="G44" i="4"/>
  <c r="G46" i="4" s="1"/>
  <c r="G48" i="4" s="1"/>
  <c r="E44" i="4"/>
  <c r="E46" i="4" s="1"/>
  <c r="E48" i="4" s="1"/>
  <c r="D44" i="4"/>
  <c r="D46" i="4" s="1"/>
  <c r="D48" i="4" s="1"/>
  <c r="O43" i="4"/>
  <c r="O42" i="4"/>
  <c r="M41" i="4"/>
  <c r="O41" i="4" s="1"/>
  <c r="F41" i="4"/>
  <c r="C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M26" i="4"/>
  <c r="F26" i="4"/>
  <c r="C26" i="4"/>
  <c r="M25" i="4"/>
  <c r="O25" i="4" s="1"/>
  <c r="M24" i="4"/>
  <c r="C24" i="4"/>
  <c r="O23" i="4"/>
  <c r="O22" i="4"/>
  <c r="M21" i="4"/>
  <c r="F21" i="4"/>
  <c r="C21" i="4"/>
  <c r="O21" i="4" s="1"/>
  <c r="M20" i="4"/>
  <c r="F20" i="4"/>
  <c r="C20" i="4"/>
  <c r="M19" i="4"/>
  <c r="F19" i="4"/>
  <c r="C19" i="4"/>
  <c r="O18" i="4"/>
  <c r="O17" i="4"/>
  <c r="O16" i="4"/>
  <c r="F15" i="4"/>
  <c r="O15" i="4" s="1"/>
  <c r="O14" i="4"/>
  <c r="M13" i="4"/>
  <c r="F13" i="4"/>
  <c r="C13" i="4"/>
  <c r="C12" i="4"/>
  <c r="O12" i="4" s="1"/>
  <c r="O11" i="4"/>
  <c r="O10" i="4"/>
  <c r="O9" i="4"/>
  <c r="O8" i="4"/>
  <c r="O7" i="4"/>
  <c r="O6" i="4"/>
  <c r="O5" i="4"/>
  <c r="O4" i="4"/>
  <c r="O48" i="3"/>
  <c r="O46" i="3"/>
  <c r="N45" i="3"/>
  <c r="N47" i="3" s="1"/>
  <c r="J45" i="3"/>
  <c r="J47" i="3" s="1"/>
  <c r="I45" i="3"/>
  <c r="I49" i="3" s="1"/>
  <c r="H45" i="3"/>
  <c r="H49" i="3" s="1"/>
  <c r="G45" i="3"/>
  <c r="G49" i="3" s="1"/>
  <c r="E45" i="3"/>
  <c r="E49" i="3" s="1"/>
  <c r="D45" i="3"/>
  <c r="D49" i="3" s="1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M22" i="3"/>
  <c r="L22" i="3"/>
  <c r="F22" i="3"/>
  <c r="K21" i="3"/>
  <c r="K45" i="3" s="1"/>
  <c r="M20" i="3"/>
  <c r="M45" i="3" s="1"/>
  <c r="L20" i="3"/>
  <c r="L45" i="3" s="1"/>
  <c r="F20" i="3"/>
  <c r="C20" i="3"/>
  <c r="O19" i="3"/>
  <c r="O18" i="3"/>
  <c r="O17" i="3"/>
  <c r="O16" i="3"/>
  <c r="O15" i="3"/>
  <c r="O14" i="3"/>
  <c r="O13" i="3"/>
  <c r="O12" i="3"/>
  <c r="O11" i="3"/>
  <c r="O10" i="3"/>
  <c r="O9" i="3"/>
  <c r="O8" i="3"/>
  <c r="F7" i="3"/>
  <c r="O7" i="3" s="1"/>
  <c r="C6" i="3"/>
  <c r="C45" i="3" s="1"/>
  <c r="O5" i="3"/>
  <c r="O46" i="2"/>
  <c r="N45" i="2"/>
  <c r="N47" i="2" s="1"/>
  <c r="K45" i="2"/>
  <c r="K47" i="2" s="1"/>
  <c r="J45" i="2"/>
  <c r="J47" i="2" s="1"/>
  <c r="I45" i="2"/>
  <c r="I47" i="2" s="1"/>
  <c r="H45" i="2"/>
  <c r="H47" i="2" s="1"/>
  <c r="G45" i="2"/>
  <c r="G47" i="2" s="1"/>
  <c r="D45" i="2"/>
  <c r="D47" i="2" s="1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L21" i="2"/>
  <c r="E21" i="2"/>
  <c r="C21" i="2"/>
  <c r="O20" i="2"/>
  <c r="O19" i="2"/>
  <c r="O18" i="2"/>
  <c r="O17" i="2"/>
  <c r="O16" i="2"/>
  <c r="O15" i="2"/>
  <c r="M14" i="2"/>
  <c r="M45" i="2" s="1"/>
  <c r="M47" i="2" s="1"/>
  <c r="L14" i="2"/>
  <c r="L45" i="2" s="1"/>
  <c r="L47" i="2" s="1"/>
  <c r="F14" i="2"/>
  <c r="F45" i="2" s="1"/>
  <c r="F47" i="2" s="1"/>
  <c r="E14" i="2"/>
  <c r="C14" i="2"/>
  <c r="O13" i="2"/>
  <c r="O12" i="2"/>
  <c r="O11" i="2"/>
  <c r="O10" i="2"/>
  <c r="O9" i="2"/>
  <c r="O8" i="2"/>
  <c r="O7" i="2"/>
  <c r="O6" i="2"/>
  <c r="O5" i="2"/>
  <c r="O46" i="1"/>
  <c r="N45" i="1"/>
  <c r="N47" i="1" s="1"/>
  <c r="M45" i="1"/>
  <c r="M47" i="1" s="1"/>
  <c r="L45" i="1"/>
  <c r="L47" i="1" s="1"/>
  <c r="K45" i="1"/>
  <c r="K47" i="1" s="1"/>
  <c r="J45" i="1"/>
  <c r="J47" i="1" s="1"/>
  <c r="G45" i="1"/>
  <c r="G47" i="1" s="1"/>
  <c r="E45" i="1"/>
  <c r="E47" i="1" s="1"/>
  <c r="D45" i="1"/>
  <c r="D47" i="1" s="1"/>
  <c r="O44" i="1"/>
  <c r="O43" i="1"/>
  <c r="C42" i="1"/>
  <c r="O42" i="1" s="1"/>
  <c r="O41" i="1"/>
  <c r="F40" i="1"/>
  <c r="C40" i="1"/>
  <c r="F39" i="1"/>
  <c r="C39" i="1"/>
  <c r="F38" i="1"/>
  <c r="C38" i="1"/>
  <c r="F37" i="1"/>
  <c r="C37" i="1"/>
  <c r="O36" i="1"/>
  <c r="F35" i="1"/>
  <c r="C35" i="1"/>
  <c r="O35" i="1" s="1"/>
  <c r="F34" i="1"/>
  <c r="C34" i="1"/>
  <c r="O33" i="1"/>
  <c r="O32" i="1"/>
  <c r="F31" i="1"/>
  <c r="C31" i="1"/>
  <c r="O31" i="1" s="1"/>
  <c r="O30" i="1"/>
  <c r="O29" i="1"/>
  <c r="F28" i="1"/>
  <c r="C28" i="1"/>
  <c r="C27" i="1"/>
  <c r="O27" i="1" s="1"/>
  <c r="F26" i="1"/>
  <c r="C26" i="1"/>
  <c r="F25" i="1"/>
  <c r="C25" i="1"/>
  <c r="O24" i="1"/>
  <c r="O23" i="1"/>
  <c r="F22" i="1"/>
  <c r="C22" i="1"/>
  <c r="F21" i="1"/>
  <c r="C21" i="1"/>
  <c r="O21" i="1" s="1"/>
  <c r="I20" i="1"/>
  <c r="I45" i="1" s="1"/>
  <c r="I47" i="1" s="1"/>
  <c r="H20" i="1"/>
  <c r="H45" i="1" s="1"/>
  <c r="H47" i="1" s="1"/>
  <c r="F20" i="1"/>
  <c r="C20" i="1"/>
  <c r="O19" i="1"/>
  <c r="F18" i="1"/>
  <c r="C18" i="1"/>
  <c r="O17" i="1"/>
  <c r="F16" i="1"/>
  <c r="C16" i="1"/>
  <c r="F15" i="1"/>
  <c r="C15" i="1"/>
  <c r="O15" i="1" s="1"/>
  <c r="F14" i="1"/>
  <c r="C14" i="1"/>
  <c r="O14" i="1" s="1"/>
  <c r="F13" i="1"/>
  <c r="C13" i="1"/>
  <c r="O13" i="1" s="1"/>
  <c r="O12" i="1"/>
  <c r="O11" i="1"/>
  <c r="F10" i="1"/>
  <c r="C10" i="1"/>
  <c r="F9" i="1"/>
  <c r="C9" i="1"/>
  <c r="O9" i="1" s="1"/>
  <c r="O8" i="1"/>
  <c r="F7" i="1"/>
  <c r="O7" i="1" s="1"/>
  <c r="C7" i="1"/>
  <c r="F6" i="1"/>
  <c r="C6" i="1"/>
  <c r="F5" i="1"/>
  <c r="C5" i="1"/>
  <c r="O5" i="1" s="1"/>
  <c r="O34" i="1" l="1"/>
  <c r="O18" i="1"/>
  <c r="O39" i="1"/>
  <c r="O20" i="4"/>
  <c r="O25" i="1"/>
  <c r="O40" i="1"/>
  <c r="O19" i="4"/>
  <c r="O16" i="1"/>
  <c r="O45" i="1" s="1"/>
  <c r="O47" i="1" s="1"/>
  <c r="C44" i="4"/>
  <c r="C46" i="4" s="1"/>
  <c r="F45" i="1"/>
  <c r="F47" i="1" s="1"/>
  <c r="O26" i="1"/>
  <c r="O37" i="1"/>
  <c r="O21" i="3"/>
  <c r="O13" i="4"/>
  <c r="O44" i="4" s="1"/>
  <c r="O26" i="4"/>
  <c r="O14" i="2"/>
  <c r="F45" i="3"/>
  <c r="F47" i="3" s="1"/>
  <c r="M44" i="4"/>
  <c r="M46" i="4" s="1"/>
  <c r="M48" i="4" s="1"/>
  <c r="O20" i="3"/>
  <c r="O24" i="4"/>
  <c r="O6" i="1"/>
  <c r="O10" i="1"/>
  <c r="O22" i="1"/>
  <c r="O28" i="1"/>
  <c r="O38" i="1"/>
  <c r="E45" i="2"/>
  <c r="E47" i="2" s="1"/>
  <c r="D47" i="3"/>
  <c r="O20" i="1"/>
  <c r="G47" i="3"/>
  <c r="O21" i="2"/>
  <c r="H47" i="3"/>
  <c r="C48" i="4"/>
  <c r="F44" i="4"/>
  <c r="F46" i="4" s="1"/>
  <c r="F48" i="4" s="1"/>
  <c r="L49" i="3"/>
  <c r="L47" i="3"/>
  <c r="K47" i="3"/>
  <c r="K49" i="3"/>
  <c r="M49" i="3"/>
  <c r="M47" i="3"/>
  <c r="C47" i="3"/>
  <c r="C49" i="3"/>
  <c r="O22" i="3"/>
  <c r="O6" i="3"/>
  <c r="O45" i="3" s="1"/>
  <c r="O49" i="3" s="1"/>
  <c r="E47" i="3"/>
  <c r="I47" i="3"/>
  <c r="J49" i="3"/>
  <c r="N49" i="3"/>
  <c r="C45" i="2"/>
  <c r="C47" i="2" s="1"/>
  <c r="C45" i="1"/>
  <c r="C47" i="1" s="1"/>
  <c r="O45" i="2" l="1"/>
  <c r="O47" i="2" s="1"/>
  <c r="F49" i="3"/>
  <c r="O46" i="4"/>
  <c r="O48" i="4" s="1"/>
  <c r="O47" i="3"/>
</calcChain>
</file>

<file path=xl/sharedStrings.xml><?xml version="1.0" encoding="utf-8"?>
<sst xmlns="http://schemas.openxmlformats.org/spreadsheetml/2006/main" count="364" uniqueCount="71">
  <si>
    <t>PAPER I CARTRÓ - 2020</t>
  </si>
  <si>
    <t>Àrees d'aportació i recollida complementària</t>
  </si>
  <si>
    <t>Núm.</t>
  </si>
  <si>
    <t>Població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</si>
  <si>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</si>
  <si>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</si>
  <si>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</si>
  <si>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</si>
  <si>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</si>
  <si>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</si>
  <si>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</si>
  <si>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</si>
  <si>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</si>
  <si>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</si>
  <si>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</si>
  <si>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</si>
  <si>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</si>
  <si>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Ametlla del Vallès, L'</t>
  </si>
  <si>
    <t>Bigues i Riells</t>
  </si>
  <si>
    <t>Caldes de Montbui</t>
  </si>
  <si>
    <t>Campins</t>
  </si>
  <si>
    <t>Canovelles</t>
  </si>
  <si>
    <t>Cardedeu</t>
  </si>
  <si>
    <t>Fogars de Montclús</t>
  </si>
  <si>
    <t>Franqueses del Vallès, Les</t>
  </si>
  <si>
    <t>Garriga, La</t>
  </si>
  <si>
    <t>Granollers</t>
  </si>
  <si>
    <t>Gualba</t>
  </si>
  <si>
    <t>Llagosta, La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</si>
  <si>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</si>
  <si>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</si>
  <si>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</si>
  <si>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</si>
  <si>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</si>
  <si>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</si>
  <si>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</t>
  </si>
  <si>
    <t>Montseny</t>
  </si>
  <si>
    <t>Parets del Vallès</t>
  </si>
  <si>
    <t>Roca del Vallès, La</t>
  </si>
  <si>
    <t>Sant Antoni de Vilamajor</t>
  </si>
  <si>
    <t>Sant Celoni</t>
  </si>
  <si>
    <t>Sant Esteve de Palautordera</t>
  </si>
  <si>
    <t>Sant Feliu de Codines</t>
  </si>
  <si>
    <t>Sant Fost de Campsentelles</t>
  </si>
  <si>
    <t>Sant Pere de Vilamajor</t>
  </si>
  <si>
    <t>Santa Eulàlia de Ronçana</t>
  </si>
  <si>
    <t>Santa Maria de Martorelles</t>
  </si>
  <si>
    <t>Santa Maria de Palautordera</t>
  </si>
  <si>
    <t>Tagamanent</t>
  </si>
  <si>
    <t>Vallgorguina</t>
  </si>
  <si>
    <t>Vallromanes</t>
  </si>
  <si>
    <t>Vilalba Sasserra</t>
  </si>
  <si>
    <t>Vilanova del Vallès</t>
  </si>
  <si>
    <t>Castellcir</t>
  </si>
  <si>
    <t>Castellterçol</t>
  </si>
  <si>
    <t>Granera</t>
  </si>
  <si>
    <t>Sant Quirze Safaja</t>
  </si>
  <si>
    <t>TOTAL MENSUAL 2020</t>
  </si>
  <si>
    <t>TOTAL MENSUAL 2019</t>
  </si>
  <si>
    <t>Increment/Decrement</t>
  </si>
  <si>
    <t>Paper i Cartró - Porta a porta, Mercat i papereres</t>
  </si>
  <si>
    <t>VIDRE - 2020</t>
  </si>
  <si>
    <t>Àrees d'aportació i recollida Porta a porta de Vidre</t>
  </si>
  <si>
    <t>Deixalleries</t>
  </si>
  <si>
    <t>ENVASOS - 2020</t>
  </si>
  <si>
    <t>Àrees d'aportació i recollida Porta a porta d'Envasos</t>
  </si>
  <si>
    <t xml:space="preserve">Núm. </t>
  </si>
  <si>
    <t>ORGÀNICA - 2020</t>
  </si>
  <si>
    <t>Àrees d'aportació i recollida Porta a porta de FORM</t>
  </si>
  <si>
    <t>RMO - 2020</t>
  </si>
  <si>
    <t>Àrees d'aportació i recollida Porta a porta de 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</si>
</sst>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_-* #,##0.00\ [$€]_-;\-* #,##0.00\ [$€]_-;_-* &quot;-&quot;??\ [$€]_-;_-@_-"/>
    <numFmt numFmtId="168" formatCode="#,##0.00&quot;    &quot;;#,##0.00&quot;    &quot;;&quot;-&quot;#&quot;    &quot;;@&quot; &quot;"/>
    <numFmt numFmtId="169" formatCode="#,##0.00&quot; &quot;[$€-403];[Red]&quot;-&quot;#,##0.00&quot; &quot;[$€-403]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6" tint="0.79998168889431442"/>
      </patternFill>
    </fill>
  </fills>
  <borders count="1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/>
      <diagonal/>
    </border>
    <border>
      <left style="thin">
        <color rgb="FF000000"/>
      </left>
      <right style="thin">
        <color rgb="FF000000"/>
      </right>
      <top style="dashed">
        <color rgb="FF000000"/>
      </top>
      <bottom/>
      <diagonal/>
    </border>
    <border>
      <left style="thin">
        <color rgb="FF000000"/>
      </left>
      <right/>
      <top style="dashed">
        <color rgb="FF000000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/>
      <top style="dashed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rgb="FF000000"/>
      </top>
      <bottom style="dashed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dashed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ash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ashed">
        <color theme="1"/>
      </bottom>
      <diagonal/>
    </border>
    <border>
      <left style="thin">
        <color theme="1"/>
      </left>
      <right/>
      <top style="medium">
        <color indexed="64"/>
      </top>
      <bottom style="dashed">
        <color theme="1"/>
      </bottom>
      <diagonal/>
    </border>
    <border>
      <left style="medium">
        <color indexed="64"/>
      </left>
      <right style="thin">
        <color theme="1"/>
      </right>
      <top style="dashed">
        <color theme="1"/>
      </top>
      <bottom style="dashed">
        <color theme="1"/>
      </bottom>
      <diagonal/>
    </border>
    <border>
      <left style="thin">
        <color theme="1"/>
      </left>
      <right style="thin">
        <color theme="1"/>
      </right>
      <top style="dashed">
        <color theme="1"/>
      </top>
      <bottom style="dashed">
        <color theme="1"/>
      </bottom>
      <diagonal/>
    </border>
    <border>
      <left style="thin">
        <color theme="1"/>
      </left>
      <right/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dashed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dashed">
        <color theme="1"/>
      </top>
      <bottom style="medium">
        <color indexed="64"/>
      </bottom>
      <diagonal/>
    </border>
    <border>
      <left style="thin">
        <color theme="1"/>
      </left>
      <right/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4" fillId="0" borderId="0"/>
    <xf numFmtId="165" fontId="7" fillId="0" borderId="0" applyFont="0" applyFill="0" applyBorder="0" applyAlignment="0" applyProtection="0">
      <alignment vertical="center"/>
    </xf>
    <xf numFmtId="164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167" fontId="7" fillId="0" borderId="0" applyFont="0" applyFill="0" applyBorder="0" applyAlignment="0" applyProtection="0"/>
    <xf numFmtId="168" fontId="8" fillId="0" borderId="0"/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 textRotation="90"/>
    </xf>
    <xf numFmtId="0" fontId="9" fillId="0" borderId="0">
      <alignment horizontal="center" textRotation="90"/>
    </xf>
    <xf numFmtId="165" fontId="7" fillId="0" borderId="0" applyFont="0" applyFill="0" applyBorder="0" applyAlignment="0" applyProtection="0"/>
    <xf numFmtId="0" fontId="4" fillId="0" borderId="0"/>
    <xf numFmtId="0" fontId="7" fillId="0" borderId="0">
      <alignment vertical="center"/>
    </xf>
    <xf numFmtId="0" fontId="7" fillId="0" borderId="0"/>
    <xf numFmtId="0" fontId="1" fillId="0" borderId="0"/>
    <xf numFmtId="0" fontId="7" fillId="0" borderId="0"/>
    <xf numFmtId="0" fontId="8" fillId="0" borderId="0"/>
    <xf numFmtId="9" fontId="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10" fillId="0" borderId="0"/>
    <xf numFmtId="0" fontId="10" fillId="0" borderId="0"/>
    <xf numFmtId="169" fontId="10" fillId="0" borderId="0"/>
    <xf numFmtId="169" fontId="10" fillId="0" borderId="0"/>
  </cellStyleXfs>
  <cellXfs count="195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3" fontId="0" fillId="0" borderId="0" xfId="0" applyNumberForma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3" fontId="2" fillId="0" borderId="1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3" fontId="2" fillId="0" borderId="2" xfId="0" applyNumberFormat="1" applyFont="1" applyBorder="1" applyAlignment="1" applyProtection="1">
      <alignment horizontal="center"/>
      <protection hidden="1"/>
    </xf>
    <xf numFmtId="3" fontId="2" fillId="0" borderId="3" xfId="0" applyNumberFormat="1" applyFont="1" applyBorder="1" applyAlignment="1" applyProtection="1">
      <alignment horizontal="center"/>
      <protection hidden="1"/>
    </xf>
    <xf numFmtId="3" fontId="2" fillId="0" borderId="4" xfId="0" applyNumberFormat="1" applyFont="1" applyBorder="1" applyAlignment="1" applyProtection="1">
      <alignment horizontal="center"/>
      <protection hidden="1"/>
    </xf>
    <xf numFmtId="3" fontId="0" fillId="0" borderId="5" xfId="0" applyNumberForma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left"/>
      <protection hidden="1"/>
    </xf>
    <xf numFmtId="3" fontId="0" fillId="0" borderId="6" xfId="0" applyNumberFormat="1" applyBorder="1" applyAlignment="1" applyProtection="1">
      <alignment horizontal="center"/>
      <protection hidden="1"/>
    </xf>
    <xf numFmtId="3" fontId="0" fillId="0" borderId="7" xfId="0" applyNumberFormat="1" applyBorder="1" applyAlignment="1" applyProtection="1">
      <alignment horizontal="center"/>
      <protection hidden="1"/>
    </xf>
    <xf numFmtId="3" fontId="0" fillId="0" borderId="8" xfId="0" applyNumberFormat="1" applyBorder="1" applyAlignment="1" applyProtection="1">
      <alignment horizontal="center"/>
      <protection hidden="1"/>
    </xf>
    <xf numFmtId="3" fontId="2" fillId="0" borderId="5" xfId="0" applyNumberFormat="1" applyFont="1" applyBorder="1" applyAlignment="1" applyProtection="1">
      <alignment horizontal="center"/>
      <protection hidden="1"/>
    </xf>
    <xf numFmtId="3" fontId="0" fillId="0" borderId="9" xfId="0" applyNumberForma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left"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3" fontId="0" fillId="0" borderId="12" xfId="0" applyNumberFormat="1" applyBorder="1" applyAlignment="1" applyProtection="1">
      <alignment horizontal="center"/>
      <protection hidden="1"/>
    </xf>
    <xf numFmtId="3" fontId="2" fillId="0" borderId="9" xfId="0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left"/>
      <protection hidden="1"/>
    </xf>
    <xf numFmtId="3" fontId="2" fillId="0" borderId="13" xfId="0" applyNumberFormat="1" applyFont="1" applyBorder="1" applyAlignment="1" applyProtection="1">
      <alignment horizontal="center"/>
      <protection hidden="1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1" xfId="2" applyNumberFormat="1" applyFont="1" applyBorder="1" applyAlignment="1">
      <alignment horizontal="center"/>
    </xf>
    <xf numFmtId="3" fontId="0" fillId="0" borderId="14" xfId="0" applyNumberFormat="1" applyBorder="1" applyAlignment="1" applyProtection="1">
      <alignment horizontal="center"/>
      <protection hidden="1"/>
    </xf>
    <xf numFmtId="3" fontId="0" fillId="0" borderId="15" xfId="0" applyNumberFormat="1" applyBorder="1" applyAlignment="1" applyProtection="1">
      <alignment horizontal="center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3" fontId="2" fillId="0" borderId="7" xfId="0" applyNumberFormat="1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left"/>
      <protection hidden="1"/>
    </xf>
    <xf numFmtId="3" fontId="5" fillId="0" borderId="18" xfId="0" applyNumberFormat="1" applyFont="1" applyBorder="1" applyAlignment="1" applyProtection="1">
      <alignment horizontal="center"/>
      <protection hidden="1"/>
    </xf>
    <xf numFmtId="3" fontId="5" fillId="0" borderId="19" xfId="0" applyNumberFormat="1" applyFont="1" applyBorder="1" applyAlignment="1" applyProtection="1">
      <alignment horizontal="center"/>
      <protection hidden="1"/>
    </xf>
    <xf numFmtId="3" fontId="5" fillId="0" borderId="20" xfId="0" applyNumberFormat="1" applyFont="1" applyBorder="1" applyAlignment="1" applyProtection="1">
      <alignment horizontal="center"/>
      <protection hidden="1"/>
    </xf>
    <xf numFmtId="3" fontId="5" fillId="0" borderId="17" xfId="0" applyNumberFormat="1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left"/>
      <protection hidden="1"/>
    </xf>
    <xf numFmtId="166" fontId="6" fillId="0" borderId="15" xfId="1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3" fontId="5" fillId="0" borderId="0" xfId="0" applyNumberFormat="1" applyFont="1" applyAlignment="1" applyProtection="1">
      <alignment horizontal="center"/>
      <protection hidden="1"/>
    </xf>
    <xf numFmtId="9" fontId="0" fillId="0" borderId="0" xfId="1" applyFont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3" fontId="6" fillId="0" borderId="5" xfId="0" applyNumberFormat="1" applyFont="1" applyBorder="1" applyAlignment="1" applyProtection="1">
      <alignment horizontal="center"/>
      <protection hidden="1"/>
    </xf>
    <xf numFmtId="3" fontId="0" fillId="0" borderId="22" xfId="0" applyNumberFormat="1" applyBorder="1" applyAlignment="1" applyProtection="1">
      <alignment horizontal="center"/>
      <protection hidden="1"/>
    </xf>
    <xf numFmtId="3" fontId="6" fillId="0" borderId="9" xfId="0" applyNumberFormat="1" applyFont="1" applyBorder="1" applyAlignment="1" applyProtection="1">
      <alignment horizontal="center"/>
      <protection hidden="1"/>
    </xf>
    <xf numFmtId="0" fontId="11" fillId="0" borderId="0" xfId="0" applyFont="1"/>
    <xf numFmtId="4" fontId="11" fillId="0" borderId="0" xfId="0" applyNumberFormat="1" applyFont="1"/>
    <xf numFmtId="3" fontId="6" fillId="0" borderId="13" xfId="0" applyNumberFormat="1" applyFont="1" applyBorder="1" applyAlignment="1" applyProtection="1">
      <alignment horizontal="center"/>
      <protection hidden="1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4" xfId="2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0" xfId="0" applyNumberFormat="1" applyProtection="1">
      <protection hidden="1"/>
    </xf>
    <xf numFmtId="3" fontId="2" fillId="0" borderId="21" xfId="0" applyNumberFormat="1" applyFont="1" applyBorder="1" applyAlignment="1" applyProtection="1">
      <alignment horizontal="center"/>
      <protection hidden="1"/>
    </xf>
    <xf numFmtId="3" fontId="2" fillId="0" borderId="26" xfId="0" applyNumberFormat="1" applyFont="1" applyBorder="1" applyAlignment="1" applyProtection="1">
      <alignment horizontal="center"/>
      <protection hidden="1"/>
    </xf>
    <xf numFmtId="3" fontId="2" fillId="0" borderId="27" xfId="0" applyNumberFormat="1" applyFont="1" applyBorder="1" applyAlignment="1" applyProtection="1">
      <alignment horizontal="center"/>
      <protection hidden="1"/>
    </xf>
    <xf numFmtId="3" fontId="2" fillId="0" borderId="28" xfId="0" applyNumberFormat="1" applyFont="1" applyBorder="1" applyAlignment="1" applyProtection="1">
      <alignment horizontal="center"/>
      <protection hidden="1"/>
    </xf>
    <xf numFmtId="3" fontId="0" fillId="0" borderId="29" xfId="0" applyNumberFormat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left"/>
      <protection hidden="1"/>
    </xf>
    <xf numFmtId="3" fontId="0" fillId="0" borderId="31" xfId="0" applyNumberFormat="1" applyBorder="1" applyAlignment="1" applyProtection="1">
      <alignment horizontal="center"/>
      <protection hidden="1"/>
    </xf>
    <xf numFmtId="3" fontId="0" fillId="0" borderId="32" xfId="0" applyNumberFormat="1" applyBorder="1" applyAlignment="1" applyProtection="1">
      <alignment horizontal="center"/>
      <protection hidden="1"/>
    </xf>
    <xf numFmtId="3" fontId="0" fillId="0" borderId="33" xfId="0" applyNumberFormat="1" applyBorder="1" applyAlignment="1" applyProtection="1">
      <alignment horizontal="center"/>
      <protection hidden="1"/>
    </xf>
    <xf numFmtId="3" fontId="2" fillId="0" borderId="34" xfId="0" applyNumberFormat="1" applyFont="1" applyBorder="1" applyAlignment="1" applyProtection="1">
      <alignment horizontal="center"/>
      <protection hidden="1"/>
    </xf>
    <xf numFmtId="3" fontId="0" fillId="0" borderId="35" xfId="0" applyNumberForma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left"/>
      <protection hidden="1"/>
    </xf>
    <xf numFmtId="3" fontId="0" fillId="0" borderId="37" xfId="0" applyNumberFormat="1" applyBorder="1" applyAlignment="1" applyProtection="1">
      <alignment horizontal="center"/>
      <protection hidden="1"/>
    </xf>
    <xf numFmtId="3" fontId="0" fillId="0" borderId="38" xfId="0" applyNumberFormat="1" applyBorder="1" applyAlignment="1" applyProtection="1">
      <alignment horizontal="center"/>
      <protection hidden="1"/>
    </xf>
    <xf numFmtId="3" fontId="0" fillId="0" borderId="39" xfId="0" applyNumberFormat="1" applyBorder="1" applyAlignment="1" applyProtection="1">
      <alignment horizontal="center"/>
      <protection hidden="1"/>
    </xf>
    <xf numFmtId="3" fontId="2" fillId="0" borderId="40" xfId="0" applyNumberFormat="1" applyFont="1" applyBorder="1" applyAlignment="1" applyProtection="1">
      <alignment horizontal="center"/>
      <protection hidden="1"/>
    </xf>
    <xf numFmtId="3" fontId="0" fillId="0" borderId="41" xfId="0" applyNumberFormat="1" applyBorder="1" applyAlignment="1" applyProtection="1">
      <alignment horizontal="center"/>
      <protection hidden="1"/>
    </xf>
    <xf numFmtId="3" fontId="0" fillId="0" borderId="42" xfId="0" applyNumberFormat="1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3" fontId="0" fillId="0" borderId="44" xfId="0" applyNumberFormat="1" applyBorder="1" applyAlignment="1" applyProtection="1">
      <alignment horizontal="center"/>
      <protection hidden="1"/>
    </xf>
    <xf numFmtId="3" fontId="0" fillId="0" borderId="45" xfId="0" applyNumberFormat="1" applyBorder="1" applyAlignment="1" applyProtection="1">
      <alignment horizontal="center"/>
      <protection hidden="1"/>
    </xf>
    <xf numFmtId="3" fontId="0" fillId="0" borderId="46" xfId="0" applyNumberFormat="1" applyBorder="1" applyAlignment="1" applyProtection="1">
      <alignment horizontal="center"/>
      <protection hidden="1"/>
    </xf>
    <xf numFmtId="3" fontId="2" fillId="0" borderId="47" xfId="0" applyNumberFormat="1" applyFont="1" applyBorder="1" applyAlignment="1" applyProtection="1">
      <alignment horizontal="center"/>
      <protection hidden="1"/>
    </xf>
    <xf numFmtId="4" fontId="12" fillId="0" borderId="0" xfId="0" applyNumberFormat="1" applyFont="1"/>
    <xf numFmtId="3" fontId="2" fillId="0" borderId="48" xfId="0" applyNumberFormat="1" applyFont="1" applyBorder="1" applyAlignment="1" applyProtection="1">
      <alignment horizontal="center"/>
      <protection hidden="1"/>
    </xf>
    <xf numFmtId="0" fontId="2" fillId="0" borderId="49" xfId="0" applyFont="1" applyBorder="1" applyProtection="1">
      <protection hidden="1"/>
    </xf>
    <xf numFmtId="3" fontId="2" fillId="0" borderId="50" xfId="0" applyNumberFormat="1" applyFont="1" applyBorder="1" applyAlignment="1" applyProtection="1">
      <alignment horizontal="center"/>
      <protection hidden="1"/>
    </xf>
    <xf numFmtId="3" fontId="2" fillId="0" borderId="51" xfId="0" applyNumberFormat="1" applyFont="1" applyBorder="1" applyAlignment="1" applyProtection="1">
      <alignment horizontal="center"/>
      <protection hidden="1"/>
    </xf>
    <xf numFmtId="3" fontId="2" fillId="0" borderId="52" xfId="0" applyNumberFormat="1" applyFont="1" applyBorder="1" applyAlignment="1" applyProtection="1">
      <alignment horizontal="center"/>
      <protection hidden="1"/>
    </xf>
    <xf numFmtId="3" fontId="2" fillId="0" borderId="49" xfId="0" applyNumberFormat="1" applyFont="1" applyBorder="1" applyAlignment="1" applyProtection="1">
      <alignment horizontal="center"/>
      <protection hidden="1"/>
    </xf>
    <xf numFmtId="3" fontId="0" fillId="0" borderId="53" xfId="0" applyNumberFormat="1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left"/>
      <protection hidden="1"/>
    </xf>
    <xf numFmtId="3" fontId="0" fillId="0" borderId="55" xfId="0" applyNumberFormat="1" applyBorder="1" applyAlignment="1" applyProtection="1">
      <alignment horizontal="center"/>
      <protection hidden="1"/>
    </xf>
    <xf numFmtId="3" fontId="0" fillId="0" borderId="54" xfId="0" applyNumberFormat="1" applyBorder="1" applyAlignment="1" applyProtection="1">
      <alignment horizontal="center"/>
      <protection hidden="1"/>
    </xf>
    <xf numFmtId="3" fontId="0" fillId="0" borderId="56" xfId="0" applyNumberFormat="1" applyBorder="1" applyAlignment="1" applyProtection="1">
      <alignment horizontal="center"/>
      <protection hidden="1"/>
    </xf>
    <xf numFmtId="3" fontId="2" fillId="0" borderId="57" xfId="0" applyNumberFormat="1" applyFont="1" applyBorder="1" applyAlignment="1" applyProtection="1">
      <alignment horizontal="center"/>
      <protection hidden="1"/>
    </xf>
    <xf numFmtId="0" fontId="2" fillId="0" borderId="58" xfId="0" applyFont="1" applyBorder="1" applyAlignment="1" applyProtection="1">
      <alignment horizontal="left"/>
      <protection hidden="1"/>
    </xf>
    <xf numFmtId="3" fontId="2" fillId="0" borderId="59" xfId="0" applyNumberFormat="1" applyFont="1" applyBorder="1" applyAlignment="1" applyProtection="1">
      <alignment horizontal="center"/>
      <protection hidden="1"/>
    </xf>
    <xf numFmtId="3" fontId="2" fillId="0" borderId="58" xfId="0" applyNumberFormat="1" applyFont="1" applyBorder="1" applyAlignment="1" applyProtection="1">
      <alignment horizontal="center"/>
      <protection hidden="1"/>
    </xf>
    <xf numFmtId="3" fontId="2" fillId="0" borderId="60" xfId="0" applyNumberFormat="1" applyFont="1" applyBorder="1" applyAlignment="1" applyProtection="1">
      <alignment horizontal="center"/>
      <protection hidden="1"/>
    </xf>
    <xf numFmtId="3" fontId="0" fillId="0" borderId="61" xfId="0" applyNumberFormat="1" applyBorder="1" applyAlignment="1" applyProtection="1">
      <alignment horizontal="center"/>
      <protection hidden="1"/>
    </xf>
    <xf numFmtId="0" fontId="5" fillId="0" borderId="62" xfId="0" applyFont="1" applyBorder="1" applyAlignment="1" applyProtection="1">
      <alignment horizontal="left"/>
      <protection hidden="1"/>
    </xf>
    <xf numFmtId="3" fontId="5" fillId="0" borderId="63" xfId="0" applyNumberFormat="1" applyFont="1" applyBorder="1" applyAlignment="1" applyProtection="1">
      <alignment horizontal="center"/>
      <protection hidden="1"/>
    </xf>
    <xf numFmtId="3" fontId="5" fillId="0" borderId="64" xfId="0" applyNumberFormat="1" applyFont="1" applyBorder="1" applyAlignment="1" applyProtection="1">
      <alignment horizontal="center"/>
      <protection hidden="1"/>
    </xf>
    <xf numFmtId="3" fontId="5" fillId="0" borderId="65" xfId="0" applyNumberFormat="1" applyFont="1" applyBorder="1" applyAlignment="1" applyProtection="1">
      <alignment horizontal="center"/>
      <protection hidden="1"/>
    </xf>
    <xf numFmtId="3" fontId="5" fillId="0" borderId="66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left"/>
      <protection hidden="1"/>
    </xf>
    <xf numFmtId="166" fontId="6" fillId="0" borderId="67" xfId="1" applyNumberFormat="1" applyFont="1" applyBorder="1" applyAlignment="1" applyProtection="1">
      <alignment horizontal="center"/>
      <protection hidden="1"/>
    </xf>
    <xf numFmtId="3" fontId="0" fillId="0" borderId="68" xfId="0" applyNumberFormat="1" applyBorder="1" applyAlignment="1" applyProtection="1">
      <alignment horizontal="center"/>
      <protection hidden="1"/>
    </xf>
    <xf numFmtId="0" fontId="0" fillId="0" borderId="69" xfId="0" applyBorder="1" applyAlignment="1" applyProtection="1">
      <alignment horizontal="left"/>
      <protection hidden="1"/>
    </xf>
    <xf numFmtId="3" fontId="0" fillId="0" borderId="70" xfId="0" applyNumberFormat="1" applyBorder="1" applyAlignment="1" applyProtection="1">
      <alignment horizontal="center"/>
      <protection hidden="1"/>
    </xf>
    <xf numFmtId="3" fontId="0" fillId="0" borderId="71" xfId="0" applyNumberFormat="1" applyBorder="1" applyAlignment="1" applyProtection="1">
      <alignment horizontal="center"/>
      <protection hidden="1"/>
    </xf>
    <xf numFmtId="3" fontId="0" fillId="0" borderId="72" xfId="0" applyNumberFormat="1" applyBorder="1" applyAlignment="1" applyProtection="1">
      <alignment horizontal="center"/>
      <protection hidden="1"/>
    </xf>
    <xf numFmtId="0" fontId="0" fillId="0" borderId="73" xfId="0" applyBorder="1" applyAlignment="1" applyProtection="1">
      <alignment horizontal="left"/>
      <protection hidden="1"/>
    </xf>
    <xf numFmtId="3" fontId="0" fillId="0" borderId="74" xfId="0" applyNumberFormat="1" applyBorder="1" applyAlignment="1" applyProtection="1">
      <alignment horizontal="center"/>
      <protection hidden="1"/>
    </xf>
    <xf numFmtId="3" fontId="0" fillId="0" borderId="75" xfId="0" applyNumberFormat="1" applyBorder="1" applyAlignment="1" applyProtection="1">
      <alignment horizontal="center"/>
      <protection hidden="1"/>
    </xf>
    <xf numFmtId="3" fontId="0" fillId="0" borderId="76" xfId="0" applyNumberFormat="1" applyBorder="1" applyAlignment="1" applyProtection="1">
      <alignment horizontal="center"/>
      <protection hidden="1"/>
    </xf>
    <xf numFmtId="0" fontId="0" fillId="0" borderId="77" xfId="0" applyBorder="1" applyAlignment="1" applyProtection="1">
      <alignment horizontal="left"/>
      <protection hidden="1"/>
    </xf>
    <xf numFmtId="3" fontId="0" fillId="0" borderId="59" xfId="0" applyNumberFormat="1" applyBorder="1" applyAlignment="1" applyProtection="1">
      <alignment horizontal="center"/>
      <protection hidden="1"/>
    </xf>
    <xf numFmtId="3" fontId="0" fillId="0" borderId="57" xfId="0" applyNumberFormat="1" applyBorder="1" applyAlignment="1" applyProtection="1">
      <alignment horizontal="center"/>
      <protection hidden="1"/>
    </xf>
    <xf numFmtId="3" fontId="0" fillId="0" borderId="78" xfId="0" applyNumberFormat="1" applyBorder="1" applyAlignment="1" applyProtection="1">
      <alignment horizontal="center"/>
      <protection hidden="1"/>
    </xf>
    <xf numFmtId="3" fontId="0" fillId="0" borderId="79" xfId="0" applyNumberFormat="1" applyBorder="1" applyAlignment="1" applyProtection="1">
      <alignment horizontal="center"/>
      <protection hidden="1"/>
    </xf>
    <xf numFmtId="3" fontId="0" fillId="0" borderId="80" xfId="0" applyNumberFormat="1" applyBorder="1" applyAlignment="1" applyProtection="1">
      <alignment horizontal="center"/>
      <protection hidden="1"/>
    </xf>
    <xf numFmtId="3" fontId="0" fillId="0" borderId="81" xfId="0" applyNumberFormat="1" applyBorder="1" applyAlignment="1" applyProtection="1">
      <alignment horizontal="center"/>
      <protection hidden="1"/>
    </xf>
    <xf numFmtId="0" fontId="2" fillId="0" borderId="17" xfId="0" applyFont="1" applyBorder="1" applyProtection="1">
      <protection hidden="1"/>
    </xf>
    <xf numFmtId="0" fontId="0" fillId="0" borderId="1" xfId="0" applyBorder="1"/>
    <xf numFmtId="3" fontId="0" fillId="0" borderId="26" xfId="0" applyNumberFormat="1" applyBorder="1" applyAlignment="1" applyProtection="1">
      <alignment horizontal="center"/>
      <protection hidden="1"/>
    </xf>
    <xf numFmtId="3" fontId="0" fillId="0" borderId="3" xfId="0" applyNumberFormat="1" applyBorder="1" applyAlignment="1" applyProtection="1">
      <alignment horizontal="center"/>
      <protection hidden="1"/>
    </xf>
    <xf numFmtId="3" fontId="0" fillId="0" borderId="1" xfId="0" applyNumberFormat="1" applyBorder="1" applyAlignment="1">
      <alignment horizontal="center"/>
    </xf>
    <xf numFmtId="3" fontId="13" fillId="0" borderId="79" xfId="0" applyNumberFormat="1" applyFont="1" applyBorder="1" applyAlignment="1" applyProtection="1">
      <alignment horizontal="center"/>
      <protection hidden="1"/>
    </xf>
    <xf numFmtId="0" fontId="6" fillId="0" borderId="28" xfId="0" applyFont="1" applyBorder="1" applyAlignment="1">
      <alignment horizontal="left"/>
    </xf>
    <xf numFmtId="3" fontId="6" fillId="0" borderId="26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5" fillId="0" borderId="82" xfId="0" applyNumberFormat="1" applyFont="1" applyBorder="1" applyAlignment="1" applyProtection="1">
      <alignment horizontal="center"/>
      <protection hidden="1"/>
    </xf>
    <xf numFmtId="3" fontId="5" fillId="0" borderId="62" xfId="0" applyNumberFormat="1" applyFont="1" applyBorder="1" applyAlignment="1" applyProtection="1">
      <alignment horizontal="center"/>
      <protection hidden="1"/>
    </xf>
    <xf numFmtId="166" fontId="6" fillId="0" borderId="63" xfId="1" applyNumberFormat="1" applyFont="1" applyBorder="1" applyAlignment="1" applyProtection="1">
      <alignment horizontal="center"/>
      <protection hidden="1"/>
    </xf>
    <xf numFmtId="166" fontId="6" fillId="0" borderId="64" xfId="1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15" fillId="0" borderId="85" xfId="0" applyNumberFormat="1" applyFont="1" applyBorder="1" applyAlignment="1" applyProtection="1">
      <alignment horizontal="center"/>
      <protection hidden="1"/>
    </xf>
    <xf numFmtId="0" fontId="15" fillId="0" borderId="85" xfId="0" applyFont="1" applyBorder="1" applyAlignment="1" applyProtection="1">
      <alignment horizontal="left"/>
      <protection hidden="1"/>
    </xf>
    <xf numFmtId="3" fontId="15" fillId="0" borderId="34" xfId="0" applyNumberFormat="1" applyFont="1" applyBorder="1" applyAlignment="1" applyProtection="1">
      <alignment horizontal="center"/>
      <protection hidden="1"/>
    </xf>
    <xf numFmtId="3" fontId="15" fillId="0" borderId="71" xfId="0" applyNumberFormat="1" applyFont="1" applyBorder="1" applyAlignment="1" applyProtection="1">
      <alignment horizontal="center"/>
      <protection hidden="1"/>
    </xf>
    <xf numFmtId="3" fontId="15" fillId="0" borderId="86" xfId="0" applyNumberFormat="1" applyFont="1" applyBorder="1" applyAlignment="1" applyProtection="1">
      <alignment horizontal="center"/>
      <protection hidden="1"/>
    </xf>
    <xf numFmtId="3" fontId="15" fillId="0" borderId="87" xfId="0" applyNumberFormat="1" applyFont="1" applyBorder="1" applyAlignment="1" applyProtection="1">
      <alignment horizontal="center"/>
      <protection hidden="1"/>
    </xf>
    <xf numFmtId="0" fontId="15" fillId="0" borderId="87" xfId="0" applyFont="1" applyBorder="1" applyAlignment="1" applyProtection="1">
      <alignment horizontal="left"/>
      <protection hidden="1"/>
    </xf>
    <xf numFmtId="3" fontId="15" fillId="0" borderId="10" xfId="0" applyNumberFormat="1" applyFont="1" applyBorder="1" applyAlignment="1" applyProtection="1">
      <alignment horizontal="center"/>
      <protection hidden="1"/>
    </xf>
    <xf numFmtId="3" fontId="15" fillId="0" borderId="11" xfId="0" applyNumberFormat="1" applyFont="1" applyBorder="1" applyAlignment="1" applyProtection="1">
      <alignment horizontal="center"/>
      <protection hidden="1"/>
    </xf>
    <xf numFmtId="3" fontId="15" fillId="0" borderId="22" xfId="0" applyNumberFormat="1" applyFont="1" applyBorder="1" applyAlignment="1" applyProtection="1">
      <alignment horizontal="center"/>
      <protection hidden="1"/>
    </xf>
    <xf numFmtId="0" fontId="15" fillId="0" borderId="88" xfId="0" applyFont="1" applyBorder="1" applyAlignment="1" applyProtection="1">
      <alignment horizontal="left"/>
      <protection hidden="1"/>
    </xf>
    <xf numFmtId="3" fontId="15" fillId="0" borderId="89" xfId="0" applyNumberFormat="1" applyFont="1" applyBorder="1" applyAlignment="1" applyProtection="1">
      <alignment horizontal="center"/>
      <protection hidden="1"/>
    </xf>
    <xf numFmtId="0" fontId="15" fillId="0" borderId="89" xfId="0" applyFont="1" applyBorder="1" applyAlignment="1" applyProtection="1">
      <alignment horizontal="left"/>
      <protection hidden="1"/>
    </xf>
    <xf numFmtId="3" fontId="15" fillId="0" borderId="90" xfId="0" applyNumberFormat="1" applyFont="1" applyBorder="1" applyAlignment="1" applyProtection="1">
      <alignment horizontal="center"/>
      <protection hidden="1"/>
    </xf>
    <xf numFmtId="3" fontId="15" fillId="0" borderId="79" xfId="0" applyNumberFormat="1" applyFont="1" applyBorder="1" applyAlignment="1" applyProtection="1">
      <alignment horizontal="center"/>
      <protection hidden="1"/>
    </xf>
    <xf numFmtId="3" fontId="15" fillId="0" borderId="80" xfId="0" applyNumberFormat="1" applyFont="1" applyBorder="1" applyAlignment="1" applyProtection="1">
      <alignment horizontal="center"/>
      <protection hidden="1"/>
    </xf>
    <xf numFmtId="3" fontId="16" fillId="0" borderId="81" xfId="0" applyNumberFormat="1" applyFont="1" applyBorder="1" applyAlignment="1" applyProtection="1">
      <alignment horizontal="center"/>
      <protection hidden="1"/>
    </xf>
    <xf numFmtId="3" fontId="2" fillId="0" borderId="63" xfId="0" applyNumberFormat="1" applyFont="1" applyBorder="1" applyAlignment="1" applyProtection="1">
      <alignment horizontal="center"/>
      <protection hidden="1"/>
    </xf>
    <xf numFmtId="3" fontId="2" fillId="0" borderId="64" xfId="0" applyNumberFormat="1" applyFont="1" applyBorder="1" applyAlignment="1" applyProtection="1">
      <alignment horizontal="center"/>
      <protection hidden="1"/>
    </xf>
    <xf numFmtId="0" fontId="17" fillId="0" borderId="1" xfId="0" applyFont="1" applyBorder="1" applyAlignment="1" applyProtection="1">
      <alignment horizontal="left"/>
      <protection hidden="1"/>
    </xf>
    <xf numFmtId="166" fontId="17" fillId="0" borderId="26" xfId="1" applyNumberFormat="1" applyFont="1" applyFill="1" applyBorder="1" applyAlignment="1" applyProtection="1">
      <alignment horizontal="center"/>
      <protection hidden="1"/>
    </xf>
    <xf numFmtId="166" fontId="17" fillId="0" borderId="3" xfId="1" applyNumberFormat="1" applyFont="1" applyFill="1" applyBorder="1" applyAlignment="1" applyProtection="1">
      <alignment horizontal="center"/>
      <protection hidden="1"/>
    </xf>
    <xf numFmtId="10" fontId="17" fillId="0" borderId="3" xfId="1" applyNumberFormat="1" applyFont="1" applyFill="1" applyBorder="1" applyAlignment="1" applyProtection="1">
      <alignment horizontal="center"/>
      <protection hidden="1"/>
    </xf>
    <xf numFmtId="3" fontId="14" fillId="2" borderId="91" xfId="0" applyNumberFormat="1" applyFont="1" applyFill="1" applyBorder="1" applyAlignment="1" applyProtection="1">
      <alignment horizontal="center"/>
      <protection hidden="1"/>
    </xf>
    <xf numFmtId="0" fontId="14" fillId="2" borderId="91" xfId="0" applyFont="1" applyFill="1" applyBorder="1"/>
    <xf numFmtId="3" fontId="14" fillId="2" borderId="92" xfId="0" applyNumberFormat="1" applyFont="1" applyFill="1" applyBorder="1" applyAlignment="1">
      <alignment horizontal="center"/>
    </xf>
    <xf numFmtId="3" fontId="14" fillId="2" borderId="93" xfId="0" applyNumberFormat="1" applyFont="1" applyFill="1" applyBorder="1" applyAlignment="1">
      <alignment horizontal="center"/>
    </xf>
    <xf numFmtId="3" fontId="14" fillId="2" borderId="94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8" fillId="0" borderId="95" xfId="0" applyNumberFormat="1" applyFont="1" applyBorder="1" applyAlignment="1" applyProtection="1">
      <alignment horizontal="center"/>
      <protection hidden="1"/>
    </xf>
    <xf numFmtId="0" fontId="0" fillId="0" borderId="96" xfId="0" applyBorder="1" applyAlignment="1">
      <alignment horizontal="left"/>
    </xf>
    <xf numFmtId="3" fontId="8" fillId="0" borderId="97" xfId="0" applyNumberFormat="1" applyFont="1" applyBorder="1" applyAlignment="1">
      <alignment horizontal="center"/>
    </xf>
    <xf numFmtId="3" fontId="8" fillId="0" borderId="98" xfId="0" applyNumberFormat="1" applyFont="1" applyBorder="1" applyAlignment="1">
      <alignment horizontal="center"/>
    </xf>
    <xf numFmtId="3" fontId="8" fillId="0" borderId="99" xfId="0" applyNumberFormat="1" applyFont="1" applyBorder="1" applyAlignment="1">
      <alignment horizontal="center"/>
    </xf>
    <xf numFmtId="3" fontId="2" fillId="0" borderId="91" xfId="0" applyNumberFormat="1" applyFont="1" applyBorder="1" applyAlignment="1">
      <alignment horizontal="center"/>
    </xf>
    <xf numFmtId="3" fontId="8" fillId="0" borderId="96" xfId="0" applyNumberFormat="1" applyFont="1" applyBorder="1" applyAlignment="1" applyProtection="1">
      <alignment horizontal="center"/>
      <protection hidden="1"/>
    </xf>
    <xf numFmtId="3" fontId="8" fillId="0" borderId="100" xfId="0" applyNumberFormat="1" applyFont="1" applyBorder="1" applyAlignment="1">
      <alignment horizontal="center"/>
    </xf>
    <xf numFmtId="3" fontId="8" fillId="0" borderId="101" xfId="0" applyNumberFormat="1" applyFont="1" applyBorder="1" applyAlignment="1">
      <alignment horizontal="center"/>
    </xf>
    <xf numFmtId="3" fontId="8" fillId="0" borderId="102" xfId="0" applyNumberFormat="1" applyFont="1" applyBorder="1" applyAlignment="1">
      <alignment horizontal="center"/>
    </xf>
    <xf numFmtId="3" fontId="2" fillId="0" borderId="96" xfId="0" applyNumberFormat="1" applyFont="1" applyBorder="1" applyAlignment="1">
      <alignment horizontal="center"/>
    </xf>
    <xf numFmtId="3" fontId="8" fillId="0" borderId="103" xfId="0" applyNumberFormat="1" applyFont="1" applyBorder="1" applyAlignment="1" applyProtection="1">
      <alignment horizontal="center"/>
      <protection hidden="1"/>
    </xf>
    <xf numFmtId="0" fontId="0" fillId="0" borderId="103" xfId="0" applyBorder="1" applyAlignment="1">
      <alignment horizontal="left"/>
    </xf>
    <xf numFmtId="3" fontId="8" fillId="0" borderId="104" xfId="0" applyNumberFormat="1" applyFont="1" applyBorder="1" applyAlignment="1">
      <alignment horizontal="center"/>
    </xf>
    <xf numFmtId="3" fontId="8" fillId="0" borderId="105" xfId="0" applyNumberFormat="1" applyFont="1" applyBorder="1" applyAlignment="1">
      <alignment horizontal="center"/>
    </xf>
    <xf numFmtId="3" fontId="8" fillId="0" borderId="106" xfId="0" applyNumberFormat="1" applyFont="1" applyBorder="1" applyAlignment="1">
      <alignment horizontal="center"/>
    </xf>
    <xf numFmtId="3" fontId="2" fillId="0" borderId="107" xfId="0" applyNumberFormat="1" applyFont="1" applyBorder="1" applyAlignment="1">
      <alignment horizontal="center"/>
    </xf>
    <xf numFmtId="0" fontId="2" fillId="3" borderId="17" xfId="0" applyFont="1" applyFill="1" applyBorder="1"/>
    <xf numFmtId="3" fontId="2" fillId="3" borderId="108" xfId="0" applyNumberFormat="1" applyFont="1" applyFill="1" applyBorder="1" applyAlignment="1">
      <alignment horizontal="center"/>
    </xf>
    <xf numFmtId="3" fontId="2" fillId="3" borderId="19" xfId="0" applyNumberFormat="1" applyFont="1" applyFill="1" applyBorder="1" applyAlignment="1">
      <alignment horizontal="center"/>
    </xf>
    <xf numFmtId="3" fontId="2" fillId="3" borderId="20" xfId="0" applyNumberFormat="1" applyFont="1" applyFill="1" applyBorder="1" applyAlignment="1">
      <alignment horizontal="center"/>
    </xf>
    <xf numFmtId="3" fontId="2" fillId="3" borderId="17" xfId="0" applyNumberFormat="1" applyFont="1" applyFill="1" applyBorder="1" applyAlignment="1">
      <alignment horizontal="center"/>
    </xf>
    <xf numFmtId="3" fontId="2" fillId="0" borderId="0" xfId="0" applyNumberFormat="1" applyFont="1" applyProtection="1">
      <protection hidden="1"/>
    </xf>
    <xf numFmtId="0" fontId="5" fillId="0" borderId="109" xfId="0" applyFont="1" applyBorder="1" applyAlignment="1">
      <alignment horizontal="left"/>
    </xf>
    <xf numFmtId="3" fontId="5" fillId="0" borderId="10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166" fontId="6" fillId="4" borderId="83" xfId="1" applyNumberFormat="1" applyFont="1" applyFill="1" applyBorder="1" applyAlignment="1">
      <alignment horizontal="center"/>
    </xf>
    <xf numFmtId="166" fontId="6" fillId="4" borderId="110" xfId="1" applyNumberFormat="1" applyFont="1" applyFill="1" applyBorder="1" applyAlignment="1">
      <alignment horizontal="center"/>
    </xf>
    <xf numFmtId="10" fontId="5" fillId="4" borderId="84" xfId="1" applyNumberFormat="1" applyFont="1" applyFill="1" applyBorder="1" applyAlignment="1">
      <alignment horizontal="center"/>
    </xf>
    <xf numFmtId="2" fontId="0" fillId="0" borderId="0" xfId="0" applyNumberFormat="1" applyProtection="1">
      <protection hidden="1"/>
    </xf>
  </cellXfs>
  <cellStyles count="26">
    <cellStyle name="Comma" xfId="3" xr:uid="{00000000-0005-0000-0000-000000000000}"/>
    <cellStyle name="Comma[0]" xfId="4" xr:uid="{00000000-0005-0000-0000-000001000000}"/>
    <cellStyle name="Currency" xfId="5" xr:uid="{00000000-0005-0000-0000-000002000000}"/>
    <cellStyle name="Currency[0]" xfId="6" xr:uid="{00000000-0005-0000-0000-000003000000}"/>
    <cellStyle name="Euro" xfId="7" xr:uid="{00000000-0005-0000-0000-000004000000}"/>
    <cellStyle name="Excel Built-in Comma" xfId="8" xr:uid="{00000000-0005-0000-0000-000005000000}"/>
    <cellStyle name="Heading" xfId="9" xr:uid="{00000000-0005-0000-0000-000006000000}"/>
    <cellStyle name="Heading 1" xfId="10" xr:uid="{00000000-0005-0000-0000-000007000000}"/>
    <cellStyle name="Heading1" xfId="11" xr:uid="{00000000-0005-0000-0000-000008000000}"/>
    <cellStyle name="Heading1 2" xfId="12" xr:uid="{00000000-0005-0000-0000-000009000000}"/>
    <cellStyle name="Millares 2" xfId="13" xr:uid="{00000000-0005-0000-0000-00000A000000}"/>
    <cellStyle name="Normal" xfId="0" builtinId="0"/>
    <cellStyle name="Normal 2" xfId="14" xr:uid="{00000000-0005-0000-0000-00000C000000}"/>
    <cellStyle name="Normal 2 2" xfId="15" xr:uid="{00000000-0005-0000-0000-00000D000000}"/>
    <cellStyle name="Normal 2 3" xfId="16" xr:uid="{00000000-0005-0000-0000-00000E000000}"/>
    <cellStyle name="Normal 3" xfId="2" xr:uid="{00000000-0005-0000-0000-00000F000000}"/>
    <cellStyle name="Normal 3 2" xfId="17" xr:uid="{00000000-0005-0000-0000-000010000000}"/>
    <cellStyle name="Normal 4" xfId="18" xr:uid="{00000000-0005-0000-0000-000011000000}"/>
    <cellStyle name="Normal 5" xfId="19" xr:uid="{00000000-0005-0000-0000-000012000000}"/>
    <cellStyle name="Percent" xfId="20" xr:uid="{00000000-0005-0000-0000-000013000000}"/>
    <cellStyle name="Porcentaje" xfId="1" builtinId="5"/>
    <cellStyle name="Porcentual 2" xfId="21" xr:uid="{00000000-0005-0000-0000-000015000000}"/>
    <cellStyle name="Result" xfId="22" xr:uid="{00000000-0005-0000-0000-000016000000}"/>
    <cellStyle name="Result 3" xfId="23" xr:uid="{00000000-0005-0000-0000-000017000000}"/>
    <cellStyle name="Result2" xfId="24" xr:uid="{00000000-0005-0000-0000-000018000000}"/>
    <cellStyle name="Result2 4" xfId="25" xr:uid="{00000000-0005-0000-0000-000019000000}"/>
  </cellStyles>
  <dxfs count="116">
    <dxf>
      <font>
        <condense val="0"/>
        <extend val="0"/>
        <color rgb="FF9C0006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dashed">
          <color auto="1"/>
        </top>
        <bottom style="dashed">
          <color auto="1"/>
        </bottom>
      </border>
    </dxf>
    <dxf>
      <border>
        <top style="dashed">
          <color theme="1"/>
        </top>
        <vertical/>
        <horizontal/>
      </border>
    </dxf>
    <dxf>
      <border diagonalUp="0" diagonalDown="0">
        <left style="medium">
          <color theme="1"/>
        </left>
        <right style="medium">
          <color indexed="64"/>
        </right>
        <top style="medium">
          <color theme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border>
        <bottom style="dashed">
          <color theme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" formatCode="#,##0"/>
      <fill>
        <patternFill patternType="solid">
          <fgColor theme="5"/>
          <bgColor theme="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/>
      </border>
    </dxf>
    <dxf>
      <font>
        <b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medium">
          <color indexed="64"/>
        </left>
        <right/>
        <top style="dashed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/>
        <top style="dashed">
          <color indexed="64"/>
        </top>
        <bottom/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medium">
          <color indexed="64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rgb="FF000000"/>
        </left>
        <right/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/>
        <top style="dashed">
          <color indexed="64"/>
        </top>
        <bottom/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dashed">
          <color rgb="FF000000"/>
        </top>
        <bottom style="medium">
          <color rgb="FF000000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border>
        <top style="dashed">
          <color rgb="FF000000"/>
        </top>
        <vertical/>
        <horizontal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border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border>
        <top style="dashed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border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Estilo de tabla 1" pivot="0" count="1" xr9:uid="{00000000-0011-0000-FFFF-FFFF00000000}">
      <tableStyleElement type="firstRowStripe" dxfId="1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Paper i Cartró 2020-2019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'PAPER I CARTRÓ'!$B$46</c:f>
              <c:strCache>
                <c:ptCount val="1"/>
                <c:pt idx="0">
                  <c:v>TOTAL MENSUAL 2019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2.3408964800777828E-17"/>
                  <c:y val="-3.973509933774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90-4927-8984-8955055C6FCE}"/>
                </c:ext>
              </c:extLst>
            </c:dLbl>
            <c:dLbl>
              <c:idx val="3"/>
              <c:layout>
                <c:manualLayout>
                  <c:x val="0"/>
                  <c:y val="-2.6490066225165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90-4927-8984-8955055C6FCE}"/>
                </c:ext>
              </c:extLst>
            </c:dLbl>
            <c:dLbl>
              <c:idx val="5"/>
              <c:layout>
                <c:manualLayout>
                  <c:x val="1.27713920817368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90-4927-8984-8955055C6FCE}"/>
                </c:ext>
              </c:extLst>
            </c:dLbl>
            <c:dLbl>
              <c:idx val="7"/>
              <c:layout>
                <c:manualLayout>
                  <c:x val="-8.47682119205298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6A-4C05-AAD0-4D2036E173FC}"/>
                </c:ext>
              </c:extLst>
            </c:dLbl>
            <c:dLbl>
              <c:idx val="8"/>
              <c:layout>
                <c:manualLayout>
                  <c:x val="-9.0571830839025168E-3"/>
                  <c:y val="-1.7985611510791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90-4927-8984-8955055C6FCE}"/>
                </c:ext>
              </c:extLst>
            </c:dLbl>
            <c:dLbl>
              <c:idx val="11"/>
              <c:layout>
                <c:manualLayout>
                  <c:x val="-1.7888402601741391E-2"/>
                  <c:y val="4.3859649122807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90-4927-8984-8955055C6F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CARTRÓ'!$C$46:$N$46</c:f>
              <c:numCache>
                <c:formatCode>#,##0</c:formatCode>
                <c:ptCount val="12"/>
                <c:pt idx="0">
                  <c:v>462880.01</c:v>
                </c:pt>
                <c:pt idx="1">
                  <c:v>369379.99999999994</c:v>
                </c:pt>
                <c:pt idx="2">
                  <c:v>408280.00000000012</c:v>
                </c:pt>
                <c:pt idx="3">
                  <c:v>451329.96</c:v>
                </c:pt>
                <c:pt idx="4">
                  <c:v>478719.99000000017</c:v>
                </c:pt>
                <c:pt idx="5">
                  <c:v>468610.00999999995</c:v>
                </c:pt>
                <c:pt idx="6">
                  <c:v>546079.96</c:v>
                </c:pt>
                <c:pt idx="7">
                  <c:v>473560.00999999995</c:v>
                </c:pt>
                <c:pt idx="8">
                  <c:v>511110</c:v>
                </c:pt>
                <c:pt idx="9">
                  <c:v>539325.00999999978</c:v>
                </c:pt>
                <c:pt idx="10">
                  <c:v>500540.00999999978</c:v>
                </c:pt>
                <c:pt idx="11">
                  <c:v>619179.56999999983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90-4927-8984-8955055C6FCE}"/>
            </c:ext>
          </c:extLst>
        </c:ser>
        <c:ser>
          <c:idx val="41"/>
          <c:order val="1"/>
          <c:tx>
            <c:strRef>
              <c:f>'PAPER I CARTRÓ'!$B$45</c:f>
              <c:strCache>
                <c:ptCount val="1"/>
                <c:pt idx="0">
                  <c:v>TOTAL MENSUAL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174224460430161E-2"/>
                  <c:y val="-8.7719298245613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90-4927-8984-8955055C6FCE}"/>
                </c:ext>
              </c:extLst>
            </c:dLbl>
            <c:dLbl>
              <c:idx val="1"/>
              <c:layout>
                <c:manualLayout>
                  <c:x val="6.37247092560141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90-4927-8984-8955055C6FCE}"/>
                </c:ext>
              </c:extLst>
            </c:dLbl>
            <c:dLbl>
              <c:idx val="3"/>
              <c:layout>
                <c:manualLayout>
                  <c:x val="1.2508523643846903E-2"/>
                  <c:y val="-1.324492333195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90-4927-8984-8955055C6FCE}"/>
                </c:ext>
              </c:extLst>
            </c:dLbl>
            <c:dLbl>
              <c:idx val="5"/>
              <c:layout>
                <c:manualLayout>
                  <c:x val="4.9427906103432133E-3"/>
                  <c:y val="-3.073076391766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90-4927-8984-8955055C6FCE}"/>
                </c:ext>
              </c:extLst>
            </c:dLbl>
            <c:dLbl>
              <c:idx val="6"/>
              <c:layout>
                <c:manualLayout>
                  <c:x val="8.9442013008706953E-3"/>
                  <c:y val="-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90-4927-8984-8955055C6FCE}"/>
                </c:ext>
              </c:extLst>
            </c:dLbl>
            <c:dLbl>
              <c:idx val="9"/>
              <c:layout>
                <c:manualLayout>
                  <c:x val="1.8996181582731243E-2"/>
                  <c:y val="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90-4927-8984-8955055C6F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CARTRÓ'!$C$45:$N$45</c:f>
              <c:numCache>
                <c:formatCode>#,##0</c:formatCode>
                <c:ptCount val="12"/>
                <c:pt idx="0">
                  <c:v>618959.99999999977</c:v>
                </c:pt>
                <c:pt idx="1">
                  <c:v>498470.26</c:v>
                </c:pt>
                <c:pt idx="2">
                  <c:v>547400.02000000014</c:v>
                </c:pt>
                <c:pt idx="3">
                  <c:v>566800</c:v>
                </c:pt>
                <c:pt idx="4">
                  <c:v>541640.00999999989</c:v>
                </c:pt>
                <c:pt idx="5">
                  <c:v>609488.57000000007</c:v>
                </c:pt>
                <c:pt idx="6">
                  <c:v>585970.05000000005</c:v>
                </c:pt>
                <c:pt idx="7">
                  <c:v>500221.00999999995</c:v>
                </c:pt>
                <c:pt idx="8">
                  <c:v>570779.9600000002</c:v>
                </c:pt>
                <c:pt idx="9">
                  <c:v>556520.01999999979</c:v>
                </c:pt>
                <c:pt idx="10">
                  <c:v>546339.98999999976</c:v>
                </c:pt>
                <c:pt idx="11">
                  <c:v>669765.96999999986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590-4927-8984-8955055C6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6436480"/>
        <c:axId val="86889984"/>
        <c:axId val="0"/>
      </c:bar3DChart>
      <c:catAx>
        <c:axId val="8643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6889984"/>
        <c:crosses val="autoZero"/>
        <c:auto val="1"/>
        <c:lblAlgn val="ctr"/>
        <c:lblOffset val="100"/>
        <c:noMultiLvlLbl val="0"/>
      </c:catAx>
      <c:valAx>
        <c:axId val="86889984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6436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FORM 2020-2019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FORM!$B$45</c:f>
              <c:strCache>
                <c:ptCount val="1"/>
                <c:pt idx="0">
                  <c:v>TOTAL MENSUAL 2019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6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0"/>
                  <c:y val="1.6349887594522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01-4F0A-91C2-A87731E86941}"/>
                </c:ext>
              </c:extLst>
            </c:dLbl>
            <c:dLbl>
              <c:idx val="1"/>
              <c:layout>
                <c:manualLayout>
                  <c:x val="-3.8314176245210752E-3"/>
                  <c:y val="3.0905088006496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01-4F0A-91C2-A87731E86941}"/>
                </c:ext>
              </c:extLst>
            </c:dLbl>
            <c:dLbl>
              <c:idx val="2"/>
              <c:layout>
                <c:manualLayout>
                  <c:x val="-3.8314176245210752E-3"/>
                  <c:y val="1.7660050289426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01-4F0A-91C2-A87731E86941}"/>
                </c:ext>
              </c:extLst>
            </c:dLbl>
            <c:dLbl>
              <c:idx val="3"/>
              <c:layout>
                <c:manualLayout>
                  <c:x val="-4.5274476513865311E-3"/>
                  <c:y val="-1.966568338249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01-4F0A-91C2-A87731E86941}"/>
                </c:ext>
              </c:extLst>
            </c:dLbl>
            <c:dLbl>
              <c:idx val="4"/>
              <c:layout>
                <c:manualLayout>
                  <c:x val="-2.3922990859386543E-2"/>
                  <c:y val="-3.0157450774094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01-4F0A-91C2-A87731E86941}"/>
                </c:ext>
              </c:extLst>
            </c:dLbl>
            <c:dLbl>
              <c:idx val="5"/>
              <c:layout>
                <c:manualLayout>
                  <c:x val="-8.5790884718500021E-3"/>
                  <c:y val="-1.2052225043195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01-4F0A-91C2-A87731E86941}"/>
                </c:ext>
              </c:extLst>
            </c:dLbl>
            <c:dLbl>
              <c:idx val="8"/>
              <c:layout>
                <c:manualLayout>
                  <c:x val="-2.1470746108427649E-3"/>
                  <c:y val="3.2236635656594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01-4F0A-91C2-A87731E86941}"/>
                </c:ext>
              </c:extLst>
            </c:dLbl>
            <c:dLbl>
              <c:idx val="9"/>
              <c:layout>
                <c:manualLayout>
                  <c:x val="-4.352475264263465E-3"/>
                  <c:y val="2.1209151431178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01-4F0A-91C2-A87731E869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FORM!$C$45:$N$45</c:f>
              <c:numCache>
                <c:formatCode>#,##0</c:formatCode>
                <c:ptCount val="12"/>
                <c:pt idx="0">
                  <c:v>405240</c:v>
                </c:pt>
                <c:pt idx="1">
                  <c:v>382840</c:v>
                </c:pt>
                <c:pt idx="2">
                  <c:v>437290.01</c:v>
                </c:pt>
                <c:pt idx="3">
                  <c:v>452979.99</c:v>
                </c:pt>
                <c:pt idx="4">
                  <c:v>513380</c:v>
                </c:pt>
                <c:pt idx="5">
                  <c:v>485940.01</c:v>
                </c:pt>
                <c:pt idx="6">
                  <c:v>532980.03</c:v>
                </c:pt>
                <c:pt idx="7">
                  <c:v>474860</c:v>
                </c:pt>
                <c:pt idx="8">
                  <c:v>485100</c:v>
                </c:pt>
                <c:pt idx="9">
                  <c:v>472620</c:v>
                </c:pt>
                <c:pt idx="10">
                  <c:v>436300</c:v>
                </c:pt>
                <c:pt idx="11">
                  <c:v>479600.01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C01-4F0A-91C2-A87731E86941}"/>
            </c:ext>
          </c:extLst>
        </c:ser>
        <c:ser>
          <c:idx val="41"/>
          <c:order val="1"/>
          <c:tx>
            <c:strRef>
              <c:f>FORM!$B$1</c:f>
              <c:strCache>
                <c:ptCount val="1"/>
                <c:pt idx="0">
                  <c:v>ORGÀNICA - 2020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pPr>
              <a:solidFill>
                <a:schemeClr val="accent6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0"/>
                  <c:y val="-2.043735949315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01-4F0A-91C2-A87731E86941}"/>
                </c:ext>
              </c:extLst>
            </c:dLbl>
            <c:dLbl>
              <c:idx val="1"/>
              <c:layout>
                <c:manualLayout>
                  <c:x val="-1.277139208173691E-3"/>
                  <c:y val="-2.6490075434140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C01-4F0A-91C2-A87731E86941}"/>
                </c:ext>
              </c:extLst>
            </c:dLbl>
            <c:dLbl>
              <c:idx val="2"/>
              <c:layout>
                <c:manualLayout>
                  <c:x val="-3.8313971364784842E-3"/>
                  <c:y val="3.6921933430887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01-4F0A-91C2-A87731E86941}"/>
                </c:ext>
              </c:extLst>
            </c:dLbl>
            <c:dLbl>
              <c:idx val="4"/>
              <c:layout>
                <c:manualLayout>
                  <c:x val="0"/>
                  <c:y val="-2.7531956735496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C01-4F0A-91C2-A87731E86941}"/>
                </c:ext>
              </c:extLst>
            </c:dLbl>
            <c:dLbl>
              <c:idx val="5"/>
              <c:layout>
                <c:manualLayout>
                  <c:x val="-9.6514745308311067E-3"/>
                  <c:y val="4.8883002313647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01-4F0A-91C2-A87731E86941}"/>
                </c:ext>
              </c:extLst>
            </c:dLbl>
            <c:dLbl>
              <c:idx val="6"/>
              <c:layout>
                <c:manualLayout>
                  <c:x val="-2.3062455357330727E-3"/>
                  <c:y val="-2.2343666269184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C01-4F0A-91C2-A87731E86941}"/>
                </c:ext>
              </c:extLst>
            </c:dLbl>
            <c:dLbl>
              <c:idx val="7"/>
              <c:layout>
                <c:manualLayout>
                  <c:x val="-8.6109889949696726E-3"/>
                  <c:y val="4.146639540460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C01-4F0A-91C2-A87731E86941}"/>
                </c:ext>
              </c:extLst>
            </c:dLbl>
            <c:dLbl>
              <c:idx val="8"/>
              <c:layout>
                <c:manualLayout>
                  <c:x val="-3.2247539105921346E-3"/>
                  <c:y val="1.6349887594522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C01-4F0A-91C2-A87731E86941}"/>
                </c:ext>
              </c:extLst>
            </c:dLbl>
            <c:dLbl>
              <c:idx val="9"/>
              <c:layout>
                <c:manualLayout>
                  <c:x val="-2.5764895330112583E-2"/>
                  <c:y val="-2.1517803836752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C01-4F0A-91C2-A87731E86941}"/>
                </c:ext>
              </c:extLst>
            </c:dLbl>
            <c:dLbl>
              <c:idx val="10"/>
              <c:layout>
                <c:manualLayout>
                  <c:x val="-7.5147611379495979E-3"/>
                  <c:y val="-2.452483139178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C01-4F0A-91C2-A87731E869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FORM!$C$44:$N$44</c:f>
              <c:numCache>
                <c:formatCode>#,##0</c:formatCode>
                <c:ptCount val="12"/>
                <c:pt idx="0">
                  <c:v>440780.04</c:v>
                </c:pt>
                <c:pt idx="1">
                  <c:v>433039.99</c:v>
                </c:pt>
                <c:pt idx="2">
                  <c:v>478840</c:v>
                </c:pt>
                <c:pt idx="3">
                  <c:v>534160</c:v>
                </c:pt>
                <c:pt idx="4">
                  <c:v>574699.99999999988</c:v>
                </c:pt>
                <c:pt idx="5">
                  <c:v>578519.99999999988</c:v>
                </c:pt>
                <c:pt idx="6">
                  <c:v>560240.01000000013</c:v>
                </c:pt>
                <c:pt idx="7">
                  <c:v>538654</c:v>
                </c:pt>
                <c:pt idx="8">
                  <c:v>508699.99</c:v>
                </c:pt>
                <c:pt idx="9">
                  <c:v>486720</c:v>
                </c:pt>
                <c:pt idx="10">
                  <c:v>479620</c:v>
                </c:pt>
                <c:pt idx="11">
                  <c:v>459880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C01-4F0A-91C2-A87731E86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61536"/>
        <c:axId val="82963072"/>
      </c:lineChart>
      <c:catAx>
        <c:axId val="8296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963072"/>
        <c:crosses val="autoZero"/>
        <c:auto val="1"/>
        <c:lblAlgn val="ctr"/>
        <c:lblOffset val="100"/>
        <c:noMultiLvlLbl val="0"/>
      </c:catAx>
      <c:valAx>
        <c:axId val="82963072"/>
        <c:scaling>
          <c:orientation val="minMax"/>
          <c:min val="2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9615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RMO  2020-2019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RMO!$B$45</c:f>
              <c:strCache>
                <c:ptCount val="1"/>
                <c:pt idx="0">
                  <c:v>TOTAL MENSUAL 2019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>
              <c:idx val="3"/>
              <c:layout>
                <c:manualLayout>
                  <c:x val="-6.83760683760683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DB-41EF-9CAD-111C2D68D910}"/>
                </c:ext>
              </c:extLst>
            </c:dLbl>
            <c:dLbl>
              <c:idx val="4"/>
              <c:layout>
                <c:manualLayout>
                  <c:x val="-1.1946160576081801E-2"/>
                  <c:y val="-1.324507874015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DB-41EF-9CAD-111C2D68D910}"/>
                </c:ext>
              </c:extLst>
            </c:dLbl>
            <c:dLbl>
              <c:idx val="5"/>
              <c:layout>
                <c:manualLayout>
                  <c:x val="4.656661507055208E-3"/>
                  <c:y val="1.25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DB-41EF-9CAD-111C2D68D910}"/>
                </c:ext>
              </c:extLst>
            </c:dLbl>
            <c:dLbl>
              <c:idx val="8"/>
              <c:layout>
                <c:manualLayout>
                  <c:x val="8.3569784832139296E-17"/>
                  <c:y val="-2.0833333333333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DB-41EF-9CAD-111C2D68D910}"/>
                </c:ext>
              </c:extLst>
            </c:dLbl>
            <c:dLbl>
              <c:idx val="9"/>
              <c:layout>
                <c:manualLayout>
                  <c:x val="7.9772079772079032E-3"/>
                  <c:y val="-1.2500000000000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DB-41EF-9CAD-111C2D68D9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RMO!$C$45:$N$45</c:f>
              <c:numCache>
                <c:formatCode>#,##0</c:formatCode>
                <c:ptCount val="12"/>
                <c:pt idx="0">
                  <c:v>1037280.0100000001</c:v>
                </c:pt>
                <c:pt idx="1">
                  <c:v>988299</c:v>
                </c:pt>
                <c:pt idx="2">
                  <c:v>1061900</c:v>
                </c:pt>
                <c:pt idx="3">
                  <c:v>1040420</c:v>
                </c:pt>
                <c:pt idx="4">
                  <c:v>1131120</c:v>
                </c:pt>
                <c:pt idx="5">
                  <c:v>1104280</c:v>
                </c:pt>
                <c:pt idx="6">
                  <c:v>1196720</c:v>
                </c:pt>
                <c:pt idx="7">
                  <c:v>1076958.8199999998</c:v>
                </c:pt>
                <c:pt idx="8">
                  <c:v>1075740</c:v>
                </c:pt>
                <c:pt idx="9">
                  <c:v>1041840</c:v>
                </c:pt>
                <c:pt idx="10">
                  <c:v>1021720</c:v>
                </c:pt>
                <c:pt idx="11">
                  <c:v>1090399.99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DB-41EF-9CAD-111C2D68D910}"/>
            </c:ext>
          </c:extLst>
        </c:ser>
        <c:ser>
          <c:idx val="41"/>
          <c:order val="1"/>
          <c:tx>
            <c:strRef>
              <c:f>RMO!$B$44</c:f>
              <c:strCache>
                <c:ptCount val="1"/>
                <c:pt idx="0">
                  <c:v>TOTAL MENSUAL 2020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356708616551301E-2"/>
                  <c:y val="-1.3245078740158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DB-41EF-9CAD-111C2D68D910}"/>
                </c:ext>
              </c:extLst>
            </c:dLbl>
            <c:dLbl>
              <c:idx val="1"/>
              <c:layout>
                <c:manualLayout>
                  <c:x val="9.73709834469328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DB-41EF-9CAD-111C2D68D910}"/>
                </c:ext>
              </c:extLst>
            </c:dLbl>
            <c:dLbl>
              <c:idx val="2"/>
              <c:layout>
                <c:manualLayout>
                  <c:x val="-7.6628352490421452E-3"/>
                  <c:y val="-4.04704810614909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0DB-41EF-9CAD-111C2D68D910}"/>
                </c:ext>
              </c:extLst>
            </c:dLbl>
            <c:dLbl>
              <c:idx val="3"/>
              <c:layout>
                <c:manualLayout>
                  <c:x val="9.1168091168094267E-3"/>
                  <c:y val="-3.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DB-41EF-9CAD-111C2D68D910}"/>
                </c:ext>
              </c:extLst>
            </c:dLbl>
            <c:dLbl>
              <c:idx val="4"/>
              <c:layout>
                <c:manualLayout>
                  <c:x val="7.66283524904214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0DB-41EF-9CAD-111C2D68D910}"/>
                </c:ext>
              </c:extLst>
            </c:dLbl>
            <c:dLbl>
              <c:idx val="5"/>
              <c:layout>
                <c:manualLayout>
                  <c:x val="0"/>
                  <c:y val="-2.9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0DB-41EF-9CAD-111C2D68D910}"/>
                </c:ext>
              </c:extLst>
            </c:dLbl>
            <c:dLbl>
              <c:idx val="7"/>
              <c:layout>
                <c:manualLayout>
                  <c:x val="1.8233618233618281E-2"/>
                  <c:y val="-4.1666666666667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0DB-41EF-9CAD-111C2D68D910}"/>
                </c:ext>
              </c:extLst>
            </c:dLbl>
            <c:dLbl>
              <c:idx val="8"/>
              <c:layout>
                <c:manualLayout>
                  <c:x val="1.253561253561261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0DB-41EF-9CAD-111C2D68D910}"/>
                </c:ext>
              </c:extLst>
            </c:dLbl>
            <c:dLbl>
              <c:idx val="9"/>
              <c:layout>
                <c:manualLayout>
                  <c:x val="2.7350427350427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0DB-41EF-9CAD-111C2D68D910}"/>
                </c:ext>
              </c:extLst>
            </c:dLbl>
            <c:dLbl>
              <c:idx val="11"/>
              <c:layout>
                <c:manualLayout>
                  <c:x val="2.05128205128205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0DB-41EF-9CAD-111C2D68D9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RMO!$C$44:$N$44</c:f>
              <c:numCache>
                <c:formatCode>#,##0</c:formatCode>
                <c:ptCount val="12"/>
                <c:pt idx="0">
                  <c:v>1107820</c:v>
                </c:pt>
                <c:pt idx="1">
                  <c:v>987120</c:v>
                </c:pt>
                <c:pt idx="2">
                  <c:v>1097660</c:v>
                </c:pt>
                <c:pt idx="3">
                  <c:v>1195580</c:v>
                </c:pt>
                <c:pt idx="4">
                  <c:v>1236660</c:v>
                </c:pt>
                <c:pt idx="5">
                  <c:v>1260060.1000000001</c:v>
                </c:pt>
                <c:pt idx="6">
                  <c:v>1224420</c:v>
                </c:pt>
                <c:pt idx="7">
                  <c:v>1162340</c:v>
                </c:pt>
                <c:pt idx="8">
                  <c:v>1103480</c:v>
                </c:pt>
                <c:pt idx="9">
                  <c:v>1114620</c:v>
                </c:pt>
                <c:pt idx="10">
                  <c:v>1091280</c:v>
                </c:pt>
                <c:pt idx="11">
                  <c:v>1113780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0DB-41EF-9CAD-111C2D68D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5266432"/>
        <c:axId val="85267968"/>
        <c:axId val="0"/>
      </c:bar3DChart>
      <c:catAx>
        <c:axId val="8526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5267968"/>
        <c:crosses val="autoZero"/>
        <c:auto val="1"/>
        <c:lblAlgn val="ctr"/>
        <c:lblOffset val="100"/>
        <c:noMultiLvlLbl val="0"/>
      </c:catAx>
      <c:valAx>
        <c:axId val="85267968"/>
        <c:scaling>
          <c:orientation val="minMax"/>
          <c:min val="8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5266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4803149606301811" l="0.70866141732285415" r="0.70866141732285415" t="0.74803149606301811" header="0.31496062992127488" footer="0.31496062992127488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RMO  2020-2019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RMO!$B$45</c:f>
              <c:strCache>
                <c:ptCount val="1"/>
                <c:pt idx="0">
                  <c:v>TOTAL MENSUAL 2019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-5.7028799543769734E-3"/>
                  <c:y val="-2.5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BE-46C2-8E2C-EB97139786FA}"/>
                </c:ext>
              </c:extLst>
            </c:dLbl>
            <c:dLbl>
              <c:idx val="3"/>
              <c:layout>
                <c:manualLayout>
                  <c:x val="-1.1405759908754308E-3"/>
                  <c:y val="2.5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BE-46C2-8E2C-EB97139786FA}"/>
                </c:ext>
              </c:extLst>
            </c:dLbl>
            <c:dLbl>
              <c:idx val="4"/>
              <c:layout>
                <c:manualLayout>
                  <c:x val="-5.1085568326947684E-3"/>
                  <c:y val="-1.3245037717070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BE-46C2-8E2C-EB97139786FA}"/>
                </c:ext>
              </c:extLst>
            </c:dLbl>
            <c:dLbl>
              <c:idx val="5"/>
              <c:layout>
                <c:manualLayout>
                  <c:x val="1.1494252873563218E-2"/>
                  <c:y val="4.0470481061490995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BE-46C2-8E2C-EB97139786FA}"/>
                </c:ext>
              </c:extLst>
            </c:dLbl>
            <c:dLbl>
              <c:idx val="7"/>
              <c:layout>
                <c:manualLayout>
                  <c:x val="0"/>
                  <c:y val="-3.645833333333341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BE-46C2-8E2C-EB97139786FA}"/>
                </c:ext>
              </c:extLst>
            </c:dLbl>
            <c:dLbl>
              <c:idx val="9"/>
              <c:layout>
                <c:manualLayout>
                  <c:x val="0"/>
                  <c:y val="3.7500000000000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BE-46C2-8E2C-EB97139786FA}"/>
                </c:ext>
              </c:extLst>
            </c:dLbl>
            <c:dLbl>
              <c:idx val="10"/>
              <c:layout>
                <c:manualLayout>
                  <c:x val="0"/>
                  <c:y val="-1.5972222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BE-46C2-8E2C-EB97139786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RMO!$C$45:$N$45</c:f>
              <c:numCache>
                <c:formatCode>#,##0</c:formatCode>
                <c:ptCount val="12"/>
                <c:pt idx="0">
                  <c:v>1037280.0100000001</c:v>
                </c:pt>
                <c:pt idx="1">
                  <c:v>988299</c:v>
                </c:pt>
                <c:pt idx="2">
                  <c:v>1061900</c:v>
                </c:pt>
                <c:pt idx="3">
                  <c:v>1040420</c:v>
                </c:pt>
                <c:pt idx="4">
                  <c:v>1131120</c:v>
                </c:pt>
                <c:pt idx="5">
                  <c:v>1104280</c:v>
                </c:pt>
                <c:pt idx="6">
                  <c:v>1196720</c:v>
                </c:pt>
                <c:pt idx="7">
                  <c:v>1076958.8199999998</c:v>
                </c:pt>
                <c:pt idx="8">
                  <c:v>1075740</c:v>
                </c:pt>
                <c:pt idx="9">
                  <c:v>1041840</c:v>
                </c:pt>
                <c:pt idx="10">
                  <c:v>1021720</c:v>
                </c:pt>
                <c:pt idx="11">
                  <c:v>1090399.99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5BE-46C2-8E2C-EB97139786FA}"/>
            </c:ext>
          </c:extLst>
        </c:ser>
        <c:ser>
          <c:idx val="41"/>
          <c:order val="1"/>
          <c:tx>
            <c:strRef>
              <c:f>RMO!$B$1</c:f>
              <c:strCache>
                <c:ptCount val="1"/>
                <c:pt idx="0">
                  <c:v>RMO - 2020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pPr>
              <a:solidFill>
                <a:schemeClr val="bg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6.7954080590225934E-3"/>
                  <c:y val="-5.0745078740157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BE-46C2-8E2C-EB97139786FA}"/>
                </c:ext>
              </c:extLst>
            </c:dLbl>
            <c:dLbl>
              <c:idx val="1"/>
              <c:layout>
                <c:manualLayout>
                  <c:x val="-1.08242680088759E-3"/>
                  <c:y val="3.47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BE-46C2-8E2C-EB97139786FA}"/>
                </c:ext>
              </c:extLst>
            </c:dLbl>
            <c:dLbl>
              <c:idx val="2"/>
              <c:layout>
                <c:manualLayout>
                  <c:x val="-7.6628352490421452E-3"/>
                  <c:y val="-4.0470481061490995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BE-46C2-8E2C-EB97139786FA}"/>
                </c:ext>
              </c:extLst>
            </c:dLbl>
            <c:dLbl>
              <c:idx val="3"/>
              <c:layout>
                <c:manualLayout>
                  <c:x val="-1.4827487881380101E-2"/>
                  <c:y val="-4.166666666666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BE-46C2-8E2C-EB97139786FA}"/>
                </c:ext>
              </c:extLst>
            </c:dLbl>
            <c:dLbl>
              <c:idx val="4"/>
              <c:layout>
                <c:manualLayout>
                  <c:x val="4.2411465033937133E-3"/>
                  <c:y val="-4.1666666666666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BE-46C2-8E2C-EB97139786FA}"/>
                </c:ext>
              </c:extLst>
            </c:dLbl>
            <c:dLbl>
              <c:idx val="5"/>
              <c:layout>
                <c:manualLayout>
                  <c:x val="0"/>
                  <c:y val="1.9791666666666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BE-46C2-8E2C-EB97139786FA}"/>
                </c:ext>
              </c:extLst>
            </c:dLbl>
            <c:dLbl>
              <c:idx val="7"/>
              <c:layout>
                <c:manualLayout>
                  <c:x val="-1.08242680088759E-3"/>
                  <c:y val="-3.0382286198600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BE-46C2-8E2C-EB97139786FA}"/>
                </c:ext>
              </c:extLst>
            </c:dLbl>
            <c:dLbl>
              <c:idx val="8"/>
              <c:layout>
                <c:manualLayout>
                  <c:x val="-2.1053554457792661E-3"/>
                  <c:y val="-2.3437499999999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BE-46C2-8E2C-EB97139786FA}"/>
                </c:ext>
              </c:extLst>
            </c:dLbl>
            <c:dLbl>
              <c:idx val="9"/>
              <c:layout>
                <c:manualLayout>
                  <c:x val="1.1405759908754308E-3"/>
                  <c:y val="2.5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5BE-46C2-8E2C-EB97139786FA}"/>
                </c:ext>
              </c:extLst>
            </c:dLbl>
            <c:dLbl>
              <c:idx val="10"/>
              <c:layout>
                <c:manualLayout>
                  <c:x val="0"/>
                  <c:y val="-4.77430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5BE-46C2-8E2C-EB97139786FA}"/>
                </c:ext>
              </c:extLst>
            </c:dLbl>
            <c:dLbl>
              <c:idx val="11"/>
              <c:layout>
                <c:manualLayout>
                  <c:x val="0"/>
                  <c:y val="-2.6041666666666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5BE-46C2-8E2C-EB97139786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RMO!$C$44:$N$44</c:f>
              <c:numCache>
                <c:formatCode>#,##0</c:formatCode>
                <c:ptCount val="12"/>
                <c:pt idx="0">
                  <c:v>1107820</c:v>
                </c:pt>
                <c:pt idx="1">
                  <c:v>987120</c:v>
                </c:pt>
                <c:pt idx="2">
                  <c:v>1097660</c:v>
                </c:pt>
                <c:pt idx="3">
                  <c:v>1195580</c:v>
                </c:pt>
                <c:pt idx="4">
                  <c:v>1236660</c:v>
                </c:pt>
                <c:pt idx="5">
                  <c:v>1260060.1000000001</c:v>
                </c:pt>
                <c:pt idx="6">
                  <c:v>1224420</c:v>
                </c:pt>
                <c:pt idx="7">
                  <c:v>1162340</c:v>
                </c:pt>
                <c:pt idx="8">
                  <c:v>1103480</c:v>
                </c:pt>
                <c:pt idx="9">
                  <c:v>1114620</c:v>
                </c:pt>
                <c:pt idx="10">
                  <c:v>1091280</c:v>
                </c:pt>
                <c:pt idx="11">
                  <c:v>1113780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5BE-46C2-8E2C-EB9713978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12576"/>
        <c:axId val="86041344"/>
      </c:lineChart>
      <c:catAx>
        <c:axId val="8591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6041344"/>
        <c:crosses val="autoZero"/>
        <c:auto val="1"/>
        <c:lblAlgn val="ctr"/>
        <c:lblOffset val="100"/>
        <c:noMultiLvlLbl val="0"/>
      </c:catAx>
      <c:valAx>
        <c:axId val="86041344"/>
        <c:scaling>
          <c:orientation val="minMax"/>
          <c:min val="8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591257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Paper i Cartró 2020-2019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'PAPER I CARTRÓ'!$B$46</c:f>
              <c:strCache>
                <c:ptCount val="1"/>
                <c:pt idx="0">
                  <c:v>TOTAL MENSUAL 2019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</c:spPr>
          </c:marker>
          <c:dLbls>
            <c:dLbl>
              <c:idx val="0"/>
              <c:layout>
                <c:manualLayout>
                  <c:x val="-1.9900497512438487E-2"/>
                  <c:y val="6.5934065934065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3E-4E12-A8D7-8591B5134BCB}"/>
                </c:ext>
              </c:extLst>
            </c:dLbl>
            <c:dLbl>
              <c:idx val="1"/>
              <c:layout>
                <c:manualLayout>
                  <c:x val="0"/>
                  <c:y val="-7.31707387335067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E-4E12-A8D7-8591B5134BCB}"/>
                </c:ext>
              </c:extLst>
            </c:dLbl>
            <c:dLbl>
              <c:idx val="3"/>
              <c:layout>
                <c:manualLayout>
                  <c:x val="-1.1049723756906141E-3"/>
                  <c:y val="-2.560975855672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3E-4E12-A8D7-8591B5134BCB}"/>
                </c:ext>
              </c:extLst>
            </c:dLbl>
            <c:dLbl>
              <c:idx val="5"/>
              <c:layout>
                <c:manualLayout>
                  <c:x val="3.3149171270718232E-3"/>
                  <c:y val="3.2926832430078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3E-4E12-A8D7-8591B5134B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CARTRÓ'!$C$46:$N$46</c:f>
              <c:numCache>
                <c:formatCode>#,##0</c:formatCode>
                <c:ptCount val="12"/>
                <c:pt idx="0">
                  <c:v>462880.01</c:v>
                </c:pt>
                <c:pt idx="1">
                  <c:v>369379.99999999994</c:v>
                </c:pt>
                <c:pt idx="2">
                  <c:v>408280.00000000012</c:v>
                </c:pt>
                <c:pt idx="3">
                  <c:v>451329.96</c:v>
                </c:pt>
                <c:pt idx="4">
                  <c:v>478719.99000000017</c:v>
                </c:pt>
                <c:pt idx="5">
                  <c:v>468610.00999999995</c:v>
                </c:pt>
                <c:pt idx="6">
                  <c:v>546079.96</c:v>
                </c:pt>
                <c:pt idx="7">
                  <c:v>473560.00999999995</c:v>
                </c:pt>
                <c:pt idx="8">
                  <c:v>511110</c:v>
                </c:pt>
                <c:pt idx="9">
                  <c:v>539325.00999999978</c:v>
                </c:pt>
                <c:pt idx="10">
                  <c:v>500540.00999999978</c:v>
                </c:pt>
                <c:pt idx="11">
                  <c:v>619179.56999999983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3E-4E12-A8D7-8591B5134BCB}"/>
            </c:ext>
          </c:extLst>
        </c:ser>
        <c:ser>
          <c:idx val="41"/>
          <c:order val="1"/>
          <c:tx>
            <c:strRef>
              <c:f>'PAPER I CARTRÓ'!$B$45</c:f>
              <c:strCache>
                <c:ptCount val="1"/>
                <c:pt idx="0">
                  <c:v>TOTAL MENSUAL 2020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0"/>
                  <c:y val="-4.3956043956044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3E-4E12-A8D7-8591B5134BCB}"/>
                </c:ext>
              </c:extLst>
            </c:dLbl>
            <c:dLbl>
              <c:idx val="1"/>
              <c:layout>
                <c:manualLayout>
                  <c:x val="-1.4716703458425295E-2"/>
                  <c:y val="-8.927277968972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3E-4E12-A8D7-8591B5134BCB}"/>
                </c:ext>
              </c:extLst>
            </c:dLbl>
            <c:dLbl>
              <c:idx val="2"/>
              <c:layout>
                <c:manualLayout>
                  <c:x val="0"/>
                  <c:y val="-4.0293040293040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3E-4E12-A8D7-8591B5134BCB}"/>
                </c:ext>
              </c:extLst>
            </c:dLbl>
            <c:dLbl>
              <c:idx val="3"/>
              <c:layout>
                <c:manualLayout>
                  <c:x val="-1.6868885454600205E-2"/>
                  <c:y val="5.6391866205507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D3E-4E12-A8D7-8591B5134BCB}"/>
                </c:ext>
              </c:extLst>
            </c:dLbl>
            <c:dLbl>
              <c:idx val="5"/>
              <c:layout>
                <c:manualLayout>
                  <c:x val="0"/>
                  <c:y val="-3.2967032967033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3E-4E12-A8D7-8591B5134BCB}"/>
                </c:ext>
              </c:extLst>
            </c:dLbl>
            <c:dLbl>
              <c:idx val="6"/>
              <c:layout>
                <c:manualLayout>
                  <c:x val="-3.3179078196381826E-3"/>
                  <c:y val="-3.2967032967032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D3E-4E12-A8D7-8591B5134BCB}"/>
                </c:ext>
              </c:extLst>
            </c:dLbl>
            <c:dLbl>
              <c:idx val="8"/>
              <c:layout>
                <c:manualLayout>
                  <c:x val="0"/>
                  <c:y val="-3.2197474463061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F4-4560-B367-8CB9F3257E7C}"/>
                </c:ext>
              </c:extLst>
            </c:dLbl>
            <c:dLbl>
              <c:idx val="9"/>
              <c:layout>
                <c:manualLayout>
                  <c:x val="-7.739082365948299E-3"/>
                  <c:y val="-3.2967032967032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3E-4E12-A8D7-8591B5134BCB}"/>
                </c:ext>
              </c:extLst>
            </c:dLbl>
            <c:dLbl>
              <c:idx val="11"/>
              <c:layout>
                <c:manualLayout>
                  <c:x val="-1.1059692732127274E-3"/>
                  <c:y val="-4.0293040293040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D3E-4E12-A8D7-8591B5134B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CARTRÓ'!$C$45:$N$45</c:f>
              <c:numCache>
                <c:formatCode>#,##0</c:formatCode>
                <c:ptCount val="12"/>
                <c:pt idx="0">
                  <c:v>618959.99999999977</c:v>
                </c:pt>
                <c:pt idx="1">
                  <c:v>498470.26</c:v>
                </c:pt>
                <c:pt idx="2">
                  <c:v>547400.02000000014</c:v>
                </c:pt>
                <c:pt idx="3">
                  <c:v>566800</c:v>
                </c:pt>
                <c:pt idx="4">
                  <c:v>541640.00999999989</c:v>
                </c:pt>
                <c:pt idx="5">
                  <c:v>609488.57000000007</c:v>
                </c:pt>
                <c:pt idx="6">
                  <c:v>585970.05000000005</c:v>
                </c:pt>
                <c:pt idx="7">
                  <c:v>500221.00999999995</c:v>
                </c:pt>
                <c:pt idx="8">
                  <c:v>570779.9600000002</c:v>
                </c:pt>
                <c:pt idx="9">
                  <c:v>556520.01999999979</c:v>
                </c:pt>
                <c:pt idx="10">
                  <c:v>546339.98999999976</c:v>
                </c:pt>
                <c:pt idx="11">
                  <c:v>669765.96999999986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D3E-4E12-A8D7-8591B5134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14912"/>
        <c:axId val="87913984"/>
      </c:lineChart>
      <c:catAx>
        <c:axId val="8781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7913984"/>
        <c:crosses val="autoZero"/>
        <c:auto val="1"/>
        <c:lblAlgn val="ctr"/>
        <c:lblOffset val="100"/>
        <c:noMultiLvlLbl val="0"/>
      </c:catAx>
      <c:valAx>
        <c:axId val="87913984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781491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Paper i Cartró. Porta a porta,</a:t>
            </a:r>
            <a:r>
              <a:rPr lang="es-ES" sz="1600" baseline="0"/>
              <a:t> Mercat i Papereres.</a:t>
            </a:r>
            <a:r>
              <a:rPr lang="es-ES" sz="1600"/>
              <a:t> 2020-2019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'PAPER I CARTRÓ PORTA A PORTA'!$B$46</c:f>
              <c:strCache>
                <c:ptCount val="1"/>
                <c:pt idx="0">
                  <c:v>TOTAL MENSUAL 2019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2.3408964800777868E-17"/>
                  <c:y val="-3.973509933774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A3-4193-9D5A-221E3183EADB}"/>
                </c:ext>
              </c:extLst>
            </c:dLbl>
            <c:dLbl>
              <c:idx val="2"/>
              <c:layout>
                <c:manualLayout>
                  <c:x val="-9.5364238410596026E-3"/>
                  <c:y val="1.7985611510791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55-4104-A118-C06F37C0AA16}"/>
                </c:ext>
              </c:extLst>
            </c:dLbl>
            <c:dLbl>
              <c:idx val="3"/>
              <c:layout>
                <c:manualLayout>
                  <c:x val="0"/>
                  <c:y val="-2.6490066225165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A3-4193-9D5A-221E3183EADB}"/>
                </c:ext>
              </c:extLst>
            </c:dLbl>
            <c:dLbl>
              <c:idx val="5"/>
              <c:layout>
                <c:manualLayout>
                  <c:x val="1.27713920817368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A3-4193-9D5A-221E3183EADB}"/>
                </c:ext>
              </c:extLst>
            </c:dLbl>
            <c:dLbl>
              <c:idx val="7"/>
              <c:layout>
                <c:manualLayout>
                  <c:x val="-7.41721854304635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55-4104-A118-C06F37C0AA16}"/>
                </c:ext>
              </c:extLst>
            </c:dLbl>
            <c:dLbl>
              <c:idx val="8"/>
              <c:layout>
                <c:manualLayout>
                  <c:x val="-1.11763062307906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A3-4193-9D5A-221E3183EADB}"/>
                </c:ext>
              </c:extLst>
            </c:dLbl>
            <c:dLbl>
              <c:idx val="10"/>
              <c:layout>
                <c:manualLayout>
                  <c:x val="-3.1788079470198723E-3"/>
                  <c:y val="-1.3489208633093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55-4104-A118-C06F37C0AA16}"/>
                </c:ext>
              </c:extLst>
            </c:dLbl>
            <c:dLbl>
              <c:idx val="11"/>
              <c:layout>
                <c:manualLayout>
                  <c:x val="-1.7888402601741391E-2"/>
                  <c:y val="4.3859649122807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A3-4193-9D5A-221E3183EA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PORTA'!$C$46:$N$46</c:f>
              <c:numCache>
                <c:formatCode>#,##0</c:formatCode>
                <c:ptCount val="12"/>
                <c:pt idx="0">
                  <c:v>103820</c:v>
                </c:pt>
                <c:pt idx="1">
                  <c:v>90610</c:v>
                </c:pt>
                <c:pt idx="2">
                  <c:v>106300</c:v>
                </c:pt>
                <c:pt idx="3">
                  <c:v>100890</c:v>
                </c:pt>
                <c:pt idx="4">
                  <c:v>133260</c:v>
                </c:pt>
                <c:pt idx="5">
                  <c:v>111540</c:v>
                </c:pt>
                <c:pt idx="6">
                  <c:v>138406</c:v>
                </c:pt>
                <c:pt idx="7">
                  <c:v>99960</c:v>
                </c:pt>
                <c:pt idx="8">
                  <c:v>130040</c:v>
                </c:pt>
                <c:pt idx="9">
                  <c:v>138815</c:v>
                </c:pt>
                <c:pt idx="10">
                  <c:v>129980</c:v>
                </c:pt>
                <c:pt idx="11">
                  <c:v>138300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A3-4193-9D5A-221E3183EADB}"/>
            </c:ext>
          </c:extLst>
        </c:ser>
        <c:ser>
          <c:idx val="41"/>
          <c:order val="1"/>
          <c:tx>
            <c:strRef>
              <c:f>'PAPER I CARTRÓ PORTA A PORTA'!$B$45</c:f>
              <c:strCache>
                <c:ptCount val="1"/>
                <c:pt idx="0">
                  <c:v>TOTAL MENSUAL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174224460430161E-2"/>
                  <c:y val="-8.7719298245613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A3-4193-9D5A-221E3183EADB}"/>
                </c:ext>
              </c:extLst>
            </c:dLbl>
            <c:dLbl>
              <c:idx val="1"/>
              <c:layout>
                <c:manualLayout>
                  <c:x val="6.37247092560141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A3-4193-9D5A-221E3183EADB}"/>
                </c:ext>
              </c:extLst>
            </c:dLbl>
            <c:dLbl>
              <c:idx val="3"/>
              <c:layout>
                <c:manualLayout>
                  <c:x val="1.2508523643846903E-2"/>
                  <c:y val="-1.324492333195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A3-4193-9D5A-221E3183EADB}"/>
                </c:ext>
              </c:extLst>
            </c:dLbl>
            <c:dLbl>
              <c:idx val="5"/>
              <c:layout>
                <c:manualLayout>
                  <c:x val="4.9427906103432133E-3"/>
                  <c:y val="-3.073076391766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A3-4193-9D5A-221E3183EADB}"/>
                </c:ext>
              </c:extLst>
            </c:dLbl>
            <c:dLbl>
              <c:idx val="6"/>
              <c:layout>
                <c:manualLayout>
                  <c:x val="8.9442013008706953E-3"/>
                  <c:y val="-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A3-4193-9D5A-221E3183EADB}"/>
                </c:ext>
              </c:extLst>
            </c:dLbl>
            <c:dLbl>
              <c:idx val="9"/>
              <c:layout>
                <c:manualLayout>
                  <c:x val="4.1617354122125494E-3"/>
                  <c:y val="-4.60686568855153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A3-4193-9D5A-221E3183EA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PORTA'!$C$45:$N$45</c:f>
              <c:numCache>
                <c:formatCode>#,##0</c:formatCode>
                <c:ptCount val="12"/>
                <c:pt idx="0">
                  <c:v>154976</c:v>
                </c:pt>
                <c:pt idx="1">
                  <c:v>139800</c:v>
                </c:pt>
                <c:pt idx="2">
                  <c:v>106340</c:v>
                </c:pt>
                <c:pt idx="3">
                  <c:v>87840</c:v>
                </c:pt>
                <c:pt idx="4">
                  <c:v>107610</c:v>
                </c:pt>
                <c:pt idx="5">
                  <c:v>131351.43</c:v>
                </c:pt>
                <c:pt idx="6">
                  <c:v>158280</c:v>
                </c:pt>
                <c:pt idx="7">
                  <c:v>100841</c:v>
                </c:pt>
                <c:pt idx="8">
                  <c:v>149520</c:v>
                </c:pt>
                <c:pt idx="9">
                  <c:v>142480</c:v>
                </c:pt>
                <c:pt idx="10">
                  <c:v>125420</c:v>
                </c:pt>
                <c:pt idx="11">
                  <c:v>155280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AA3-4193-9D5A-221E3183E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00265984"/>
        <c:axId val="100267904"/>
        <c:axId val="0"/>
      </c:bar3DChart>
      <c:catAx>
        <c:axId val="10026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0267904"/>
        <c:crosses val="autoZero"/>
        <c:auto val="1"/>
        <c:lblAlgn val="ctr"/>
        <c:lblOffset val="100"/>
        <c:noMultiLvlLbl val="0"/>
      </c:catAx>
      <c:valAx>
        <c:axId val="100267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026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Paper i Cartró.Porta a porta, Mercat i Papereres. 2020-2019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'PAPER I CARTRÓ PORTA A PORTA'!$B$46</c:f>
              <c:strCache>
                <c:ptCount val="1"/>
                <c:pt idx="0">
                  <c:v>TOTAL MENSUAL 2019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</c:spPr>
          </c:marker>
          <c:dLbls>
            <c:dLbl>
              <c:idx val="0"/>
              <c:layout>
                <c:manualLayout>
                  <c:x val="-1.9900497512438494E-2"/>
                  <c:y val="6.5934065934065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B9-490A-BCC5-E967701FD0CF}"/>
                </c:ext>
              </c:extLst>
            </c:dLbl>
            <c:dLbl>
              <c:idx val="1"/>
              <c:layout>
                <c:manualLayout>
                  <c:x val="0"/>
                  <c:y val="-7.31707387335067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B9-490A-BCC5-E967701FD0CF}"/>
                </c:ext>
              </c:extLst>
            </c:dLbl>
            <c:dLbl>
              <c:idx val="3"/>
              <c:layout>
                <c:manualLayout>
                  <c:x val="-1.1049723756906141E-3"/>
                  <c:y val="-2.560975855672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B9-490A-BCC5-E967701FD0CF}"/>
                </c:ext>
              </c:extLst>
            </c:dLbl>
            <c:dLbl>
              <c:idx val="5"/>
              <c:layout>
                <c:manualLayout>
                  <c:x val="3.3149171270718232E-3"/>
                  <c:y val="3.2926832430078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B9-490A-BCC5-E967701FD0CF}"/>
                </c:ext>
              </c:extLst>
            </c:dLbl>
            <c:dLbl>
              <c:idx val="6"/>
              <c:layout>
                <c:manualLayout>
                  <c:x val="-2.3314963967782824E-2"/>
                  <c:y val="6.0370264618239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51-4C58-8B49-0968F8547B32}"/>
                </c:ext>
              </c:extLst>
            </c:dLbl>
            <c:dLbl>
              <c:idx val="9"/>
              <c:layout>
                <c:manualLayout>
                  <c:x val="-4.2390843577787196E-3"/>
                  <c:y val="3.2197474463061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51-4C58-8B49-0968F8547B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PORTA'!$C$46:$N$46</c:f>
              <c:numCache>
                <c:formatCode>#,##0</c:formatCode>
                <c:ptCount val="12"/>
                <c:pt idx="0">
                  <c:v>103820</c:v>
                </c:pt>
                <c:pt idx="1">
                  <c:v>90610</c:v>
                </c:pt>
                <c:pt idx="2">
                  <c:v>106300</c:v>
                </c:pt>
                <c:pt idx="3">
                  <c:v>100890</c:v>
                </c:pt>
                <c:pt idx="4">
                  <c:v>133260</c:v>
                </c:pt>
                <c:pt idx="5">
                  <c:v>111540</c:v>
                </c:pt>
                <c:pt idx="6">
                  <c:v>138406</c:v>
                </c:pt>
                <c:pt idx="7">
                  <c:v>99960</c:v>
                </c:pt>
                <c:pt idx="8">
                  <c:v>130040</c:v>
                </c:pt>
                <c:pt idx="9">
                  <c:v>138815</c:v>
                </c:pt>
                <c:pt idx="10">
                  <c:v>129980</c:v>
                </c:pt>
                <c:pt idx="11">
                  <c:v>138300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B9-490A-BCC5-E967701FD0CF}"/>
            </c:ext>
          </c:extLst>
        </c:ser>
        <c:ser>
          <c:idx val="41"/>
          <c:order val="1"/>
          <c:tx>
            <c:strRef>
              <c:f>'PAPER I CARTRÓ PORTA A PORTA'!$B$45</c:f>
              <c:strCache>
                <c:ptCount val="1"/>
                <c:pt idx="0">
                  <c:v>TOTAL MENSUAL 2020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0"/>
                  <c:y val="-4.3956043956044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B9-490A-BCC5-E967701FD0CF}"/>
                </c:ext>
              </c:extLst>
            </c:dLbl>
            <c:dLbl>
              <c:idx val="1"/>
              <c:layout>
                <c:manualLayout>
                  <c:x val="-1.4716703458425295E-2"/>
                  <c:y val="-8.927277968972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B9-490A-BCC5-E967701FD0CF}"/>
                </c:ext>
              </c:extLst>
            </c:dLbl>
            <c:dLbl>
              <c:idx val="2"/>
              <c:layout>
                <c:manualLayout>
                  <c:x val="0"/>
                  <c:y val="-4.0293040293040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B9-490A-BCC5-E967701FD0CF}"/>
                </c:ext>
              </c:extLst>
            </c:dLbl>
            <c:dLbl>
              <c:idx val="3"/>
              <c:layout>
                <c:manualLayout>
                  <c:x val="-6.2711745601532814E-3"/>
                  <c:y val="3.6268438288893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B9-490A-BCC5-E967701FD0CF}"/>
                </c:ext>
              </c:extLst>
            </c:dLbl>
            <c:dLbl>
              <c:idx val="4"/>
              <c:layout>
                <c:manualLayout>
                  <c:x val="-9.5379398050021227E-3"/>
                  <c:y val="-5.232122948757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B9-490A-BCC5-E967701FD0CF}"/>
                </c:ext>
              </c:extLst>
            </c:dLbl>
            <c:dLbl>
              <c:idx val="5"/>
              <c:layout>
                <c:manualLayout>
                  <c:x val="-2.2255192878338291E-2"/>
                  <c:y val="-3.296691804570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B9-490A-BCC5-E967701FD0CF}"/>
                </c:ext>
              </c:extLst>
            </c:dLbl>
            <c:dLbl>
              <c:idx val="6"/>
              <c:layout>
                <c:manualLayout>
                  <c:x val="-3.3179078196381826E-3"/>
                  <c:y val="-3.2967032967032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B9-490A-BCC5-E967701FD0CF}"/>
                </c:ext>
              </c:extLst>
            </c:dLbl>
            <c:dLbl>
              <c:idx val="7"/>
              <c:layout>
                <c:manualLayout>
                  <c:x val="-1.1657565430433881E-2"/>
                  <c:y val="-5.2320896002474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51-4C58-8B49-0968F8547B32}"/>
                </c:ext>
              </c:extLst>
            </c:dLbl>
            <c:dLbl>
              <c:idx val="8"/>
              <c:layout>
                <c:manualLayout>
                  <c:x val="-1.0597710894446798E-2"/>
                  <c:y val="-2.4148105847295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51-4C58-8B49-0968F8547B32}"/>
                </c:ext>
              </c:extLst>
            </c:dLbl>
            <c:dLbl>
              <c:idx val="9"/>
              <c:layout>
                <c:manualLayout>
                  <c:x val="-7.7390823659483033E-3"/>
                  <c:y val="-3.2967032967032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B9-490A-BCC5-E967701FD0CF}"/>
                </c:ext>
              </c:extLst>
            </c:dLbl>
            <c:dLbl>
              <c:idx val="10"/>
              <c:layout>
                <c:manualLayout>
                  <c:x val="0"/>
                  <c:y val="2.0123421539413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51-4C58-8B49-0968F8547B32}"/>
                </c:ext>
              </c:extLst>
            </c:dLbl>
            <c:dLbl>
              <c:idx val="11"/>
              <c:layout>
                <c:manualLayout>
                  <c:x val="-1.1059692732127274E-3"/>
                  <c:y val="-4.0293040293040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B9-490A-BCC5-E967701FD0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PORTA'!$C$45:$N$45</c:f>
              <c:numCache>
                <c:formatCode>#,##0</c:formatCode>
                <c:ptCount val="12"/>
                <c:pt idx="0">
                  <c:v>154976</c:v>
                </c:pt>
                <c:pt idx="1">
                  <c:v>139800</c:v>
                </c:pt>
                <c:pt idx="2">
                  <c:v>106340</c:v>
                </c:pt>
                <c:pt idx="3">
                  <c:v>87840</c:v>
                </c:pt>
                <c:pt idx="4">
                  <c:v>107610</c:v>
                </c:pt>
                <c:pt idx="5">
                  <c:v>131351.43</c:v>
                </c:pt>
                <c:pt idx="6">
                  <c:v>158280</c:v>
                </c:pt>
                <c:pt idx="7">
                  <c:v>100841</c:v>
                </c:pt>
                <c:pt idx="8">
                  <c:v>149520</c:v>
                </c:pt>
                <c:pt idx="9">
                  <c:v>142480</c:v>
                </c:pt>
                <c:pt idx="10">
                  <c:v>125420</c:v>
                </c:pt>
                <c:pt idx="11">
                  <c:v>155280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6B9-490A-BCC5-E967701FD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89472"/>
        <c:axId val="104116992"/>
      </c:lineChart>
      <c:catAx>
        <c:axId val="10408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4116992"/>
        <c:crosses val="autoZero"/>
        <c:auto val="1"/>
        <c:lblAlgn val="ctr"/>
        <c:lblOffset val="100"/>
        <c:noMultiLvlLbl val="0"/>
      </c:catAx>
      <c:valAx>
        <c:axId val="1041169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40894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Envasos 2020-2019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ENVASOS!$B$47</c:f>
              <c:strCache>
                <c:ptCount val="1"/>
                <c:pt idx="0">
                  <c:v>TOTAL MENSUAL 2019</c:v>
                </c:pt>
              </c:strCache>
            </c:strRef>
          </c:tx>
          <c:spPr>
            <a:solidFill>
              <a:srgbClr val="BC8F00"/>
            </a:solidFill>
          </c:spPr>
          <c:invertIfNegative val="0"/>
          <c:dLbls>
            <c:dLbl>
              <c:idx val="4"/>
              <c:layout>
                <c:manualLayout>
                  <c:x val="1.2771006363930541E-3"/>
                  <c:y val="-2.6359623079901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89-4D9A-915B-1E765321DB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ENVASOS!$C$47:$N$47</c:f>
              <c:numCache>
                <c:formatCode>#,##0</c:formatCode>
                <c:ptCount val="12"/>
                <c:pt idx="0">
                  <c:v>503899.74000000005</c:v>
                </c:pt>
                <c:pt idx="1">
                  <c:v>455080.39999999997</c:v>
                </c:pt>
                <c:pt idx="2">
                  <c:v>507040.02</c:v>
                </c:pt>
                <c:pt idx="3">
                  <c:v>520320</c:v>
                </c:pt>
                <c:pt idx="4">
                  <c:v>549739.98</c:v>
                </c:pt>
                <c:pt idx="5">
                  <c:v>521619.62999999995</c:v>
                </c:pt>
                <c:pt idx="6">
                  <c:v>598525.08000000007</c:v>
                </c:pt>
                <c:pt idx="7">
                  <c:v>530639.98999999987</c:v>
                </c:pt>
                <c:pt idx="8">
                  <c:v>557359.98999999976</c:v>
                </c:pt>
                <c:pt idx="9">
                  <c:v>561707.25999999989</c:v>
                </c:pt>
                <c:pt idx="10">
                  <c:v>536439.85800000001</c:v>
                </c:pt>
                <c:pt idx="11">
                  <c:v>587260.01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89-4D9A-915B-1E765321DBD2}"/>
            </c:ext>
          </c:extLst>
        </c:ser>
        <c:ser>
          <c:idx val="41"/>
          <c:order val="1"/>
          <c:tx>
            <c:strRef>
              <c:f>ENVASOS!$B$46</c:f>
              <c:strCache>
                <c:ptCount val="1"/>
                <c:pt idx="0">
                  <c:v>TOTAL MENSUAL 2020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1.48401826484024E-2"/>
                  <c:y val="-8.7431693989071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89-4D9A-915B-1E765321DBD2}"/>
                </c:ext>
              </c:extLst>
            </c:dLbl>
            <c:dLbl>
              <c:idx val="5"/>
              <c:layout>
                <c:manualLayout>
                  <c:x val="6.4772570472219134E-4"/>
                  <c:y val="-1.7486338797814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89-4D9A-915B-1E765321DBD2}"/>
                </c:ext>
              </c:extLst>
            </c:dLbl>
            <c:dLbl>
              <c:idx val="6"/>
              <c:layout>
                <c:manualLayout>
                  <c:x val="9.13242009132427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89-4D9A-915B-1E765321DB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ENVASOS!$C$46:$N$46</c:f>
              <c:numCache>
                <c:formatCode>#,##0</c:formatCode>
                <c:ptCount val="12"/>
                <c:pt idx="0">
                  <c:v>599779.97999999986</c:v>
                </c:pt>
                <c:pt idx="1">
                  <c:v>528459.96999999986</c:v>
                </c:pt>
                <c:pt idx="2">
                  <c:v>601019.99999999988</c:v>
                </c:pt>
                <c:pt idx="3">
                  <c:v>634699.9800000001</c:v>
                </c:pt>
                <c:pt idx="4">
                  <c:v>634400.0199999999</c:v>
                </c:pt>
                <c:pt idx="5">
                  <c:v>670300.01999999979</c:v>
                </c:pt>
                <c:pt idx="6">
                  <c:v>649720.17000000004</c:v>
                </c:pt>
                <c:pt idx="7">
                  <c:v>585680.02</c:v>
                </c:pt>
                <c:pt idx="8">
                  <c:v>610300.00999999989</c:v>
                </c:pt>
                <c:pt idx="9">
                  <c:v>632939.98999999987</c:v>
                </c:pt>
                <c:pt idx="10">
                  <c:v>622380.02000000014</c:v>
                </c:pt>
                <c:pt idx="11">
                  <c:v>661420.01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89-4D9A-915B-1E765321D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64705664"/>
        <c:axId val="64707200"/>
        <c:axId val="0"/>
      </c:bar3DChart>
      <c:catAx>
        <c:axId val="6470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4707200"/>
        <c:crosses val="autoZero"/>
        <c:auto val="1"/>
        <c:lblAlgn val="ctr"/>
        <c:lblOffset val="100"/>
        <c:noMultiLvlLbl val="0"/>
      </c:catAx>
      <c:valAx>
        <c:axId val="64707200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47056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Envasos 2020-2019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ENVASOS!$B$47</c:f>
              <c:strCache>
                <c:ptCount val="1"/>
                <c:pt idx="0">
                  <c:v>TOTAL MENSUAL 2019</c:v>
                </c:pt>
              </c:strCache>
            </c:strRef>
          </c:tx>
          <c:spPr>
            <a:ln>
              <a:solidFill>
                <a:srgbClr val="E39F17"/>
              </a:solidFill>
            </a:ln>
          </c:spPr>
          <c:marker>
            <c:spPr>
              <a:solidFill>
                <a:srgbClr val="FFC000"/>
              </a:solidFill>
            </c:spPr>
          </c:marker>
          <c:dLbls>
            <c:dLbl>
              <c:idx val="0"/>
              <c:layout>
                <c:manualLayout>
                  <c:x val="-1.1405759908753981E-2"/>
                  <c:y val="-2.6755852842809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6A-4249-84E3-247D4BFA32F0}"/>
                </c:ext>
              </c:extLst>
            </c:dLbl>
            <c:dLbl>
              <c:idx val="4"/>
              <c:layout>
                <c:manualLayout>
                  <c:x val="1.277139208173691E-3"/>
                  <c:y val="-1.3245037717070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6A-4249-84E3-247D4BFA32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ENVASOS!$C$47:$N$47</c:f>
              <c:numCache>
                <c:formatCode>#,##0</c:formatCode>
                <c:ptCount val="12"/>
                <c:pt idx="0">
                  <c:v>503899.74000000005</c:v>
                </c:pt>
                <c:pt idx="1">
                  <c:v>455080.39999999997</c:v>
                </c:pt>
                <c:pt idx="2">
                  <c:v>507040.02</c:v>
                </c:pt>
                <c:pt idx="3">
                  <c:v>520320</c:v>
                </c:pt>
                <c:pt idx="4">
                  <c:v>549739.98</c:v>
                </c:pt>
                <c:pt idx="5">
                  <c:v>521619.62999999995</c:v>
                </c:pt>
                <c:pt idx="6">
                  <c:v>598525.08000000007</c:v>
                </c:pt>
                <c:pt idx="7">
                  <c:v>530639.98999999987</c:v>
                </c:pt>
                <c:pt idx="8">
                  <c:v>557359.98999999976</c:v>
                </c:pt>
                <c:pt idx="9">
                  <c:v>561707.25999999989</c:v>
                </c:pt>
                <c:pt idx="10">
                  <c:v>536439.85800000001</c:v>
                </c:pt>
                <c:pt idx="11">
                  <c:v>587260.01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6A-4249-84E3-247D4BFA32F0}"/>
            </c:ext>
          </c:extLst>
        </c:ser>
        <c:ser>
          <c:idx val="41"/>
          <c:order val="1"/>
          <c:tx>
            <c:strRef>
              <c:f>ENVASOS!$B$46</c:f>
              <c:strCache>
                <c:ptCount val="1"/>
                <c:pt idx="0">
                  <c:v>TOTAL MENSUAL 2020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</c:spPr>
          </c:marker>
          <c:dLbls>
            <c:dLbl>
              <c:idx val="0"/>
              <c:layout>
                <c:manualLayout>
                  <c:x val="-1.4827487881380101E-2"/>
                  <c:y val="-4.0133779264214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6A-4249-84E3-247D4BFA32F0}"/>
                </c:ext>
              </c:extLst>
            </c:dLbl>
            <c:dLbl>
              <c:idx val="1"/>
              <c:layout>
                <c:manualLayout>
                  <c:x val="-1.731882881420144E-2"/>
                  <c:y val="-8.8024090803802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6A-4249-84E3-247D4BFA32F0}"/>
                </c:ext>
              </c:extLst>
            </c:dLbl>
            <c:dLbl>
              <c:idx val="4"/>
              <c:layout>
                <c:manualLayout>
                  <c:x val="-1.4827487881380101E-2"/>
                  <c:y val="1.3377926421404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6A-4249-84E3-247D4BFA32F0}"/>
                </c:ext>
              </c:extLst>
            </c:dLbl>
            <c:dLbl>
              <c:idx val="5"/>
              <c:layout>
                <c:manualLayout>
                  <c:x val="2.1899915978882078E-3"/>
                  <c:y val="-3.0459209146037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6A-4249-84E3-247D4BFA32F0}"/>
                </c:ext>
              </c:extLst>
            </c:dLbl>
            <c:dLbl>
              <c:idx val="6"/>
              <c:layout>
                <c:manualLayout>
                  <c:x val="2.2811519817508012E-3"/>
                  <c:y val="2.6755852842809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6A-4249-84E3-247D4BFA32F0}"/>
                </c:ext>
              </c:extLst>
            </c:dLbl>
            <c:dLbl>
              <c:idx val="8"/>
              <c:layout>
                <c:manualLayout>
                  <c:x val="0"/>
                  <c:y val="-3.643264192593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6A-4249-84E3-247D4BFA32F0}"/>
                </c:ext>
              </c:extLst>
            </c:dLbl>
            <c:dLbl>
              <c:idx val="10"/>
              <c:layout>
                <c:manualLayout>
                  <c:x val="0"/>
                  <c:y val="-2.6755852842809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6A-4249-84E3-247D4BFA32F0}"/>
                </c:ext>
              </c:extLst>
            </c:dLbl>
            <c:dLbl>
              <c:idx val="11"/>
              <c:layout>
                <c:manualLayout>
                  <c:x val="0"/>
                  <c:y val="-4.0133779264214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6A-4249-84E3-247D4BFA32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ENVASOS!$C$46:$N$46</c:f>
              <c:numCache>
                <c:formatCode>#,##0</c:formatCode>
                <c:ptCount val="12"/>
                <c:pt idx="0">
                  <c:v>599779.97999999986</c:v>
                </c:pt>
                <c:pt idx="1">
                  <c:v>528459.96999999986</c:v>
                </c:pt>
                <c:pt idx="2">
                  <c:v>601019.99999999988</c:v>
                </c:pt>
                <c:pt idx="3">
                  <c:v>634699.9800000001</c:v>
                </c:pt>
                <c:pt idx="4">
                  <c:v>634400.0199999999</c:v>
                </c:pt>
                <c:pt idx="5">
                  <c:v>670300.01999999979</c:v>
                </c:pt>
                <c:pt idx="6">
                  <c:v>649720.17000000004</c:v>
                </c:pt>
                <c:pt idx="7">
                  <c:v>585680.02</c:v>
                </c:pt>
                <c:pt idx="8">
                  <c:v>610300.00999999989</c:v>
                </c:pt>
                <c:pt idx="9">
                  <c:v>632939.98999999987</c:v>
                </c:pt>
                <c:pt idx="10">
                  <c:v>622380.02000000014</c:v>
                </c:pt>
                <c:pt idx="11">
                  <c:v>661420.01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16A-4249-84E3-247D4BFA3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43296"/>
        <c:axId val="64744832"/>
      </c:lineChart>
      <c:catAx>
        <c:axId val="6474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4744832"/>
        <c:crosses val="autoZero"/>
        <c:auto val="1"/>
        <c:lblAlgn val="ctr"/>
        <c:lblOffset val="100"/>
        <c:noMultiLvlLbl val="0"/>
      </c:catAx>
      <c:valAx>
        <c:axId val="64744832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47432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Vidre 2020-2019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VIDRE!$B$48</c:f>
              <c:strCache>
                <c:ptCount val="1"/>
                <c:pt idx="0">
                  <c:v>TOTAL MENSUAL 2019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-5.8393080611759034E-3"/>
                  <c:y val="-2.1574973031283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24-4EFC-8C2D-37E83157B4B7}"/>
                </c:ext>
              </c:extLst>
            </c:dLbl>
            <c:dLbl>
              <c:idx val="4"/>
              <c:layout>
                <c:manualLayout>
                  <c:x val="5.1085568326947684E-3"/>
                  <c:y val="4.41501257235666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4-4EFC-8C2D-37E83157B4B7}"/>
                </c:ext>
              </c:extLst>
            </c:dLbl>
            <c:dLbl>
              <c:idx val="5"/>
              <c:layout>
                <c:manualLayout>
                  <c:x val="5.1085568326947684E-3"/>
                  <c:y val="-3.476387853058889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24-4EFC-8C2D-37E83157B4B7}"/>
                </c:ext>
              </c:extLst>
            </c:dLbl>
            <c:dLbl>
              <c:idx val="9"/>
              <c:layout>
                <c:manualLayout>
                  <c:x val="1.01265822784810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24-4EFC-8C2D-37E83157B4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VIDRE!$C$48:$N$48</c:f>
              <c:numCache>
                <c:formatCode>#,##0</c:formatCode>
                <c:ptCount val="12"/>
                <c:pt idx="0">
                  <c:v>613339.87</c:v>
                </c:pt>
                <c:pt idx="1">
                  <c:v>429160.02</c:v>
                </c:pt>
                <c:pt idx="2">
                  <c:v>422099.99999999994</c:v>
                </c:pt>
                <c:pt idx="3">
                  <c:v>464379.98999999993</c:v>
                </c:pt>
                <c:pt idx="4">
                  <c:v>473939.96</c:v>
                </c:pt>
                <c:pt idx="5">
                  <c:v>412300.00000000006</c:v>
                </c:pt>
                <c:pt idx="6">
                  <c:v>549179.96999999974</c:v>
                </c:pt>
                <c:pt idx="7">
                  <c:v>459940.02</c:v>
                </c:pt>
                <c:pt idx="8">
                  <c:v>546939.98999999987</c:v>
                </c:pt>
                <c:pt idx="9">
                  <c:v>542460.10000000009</c:v>
                </c:pt>
                <c:pt idx="10">
                  <c:v>420879.99999999994</c:v>
                </c:pt>
                <c:pt idx="11">
                  <c:v>530479.97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24-4EFC-8C2D-37E83157B4B7}"/>
            </c:ext>
          </c:extLst>
        </c:ser>
        <c:ser>
          <c:idx val="41"/>
          <c:order val="1"/>
          <c:tx>
            <c:strRef>
              <c:f>VIDRE!$B$47</c:f>
              <c:strCache>
                <c:ptCount val="1"/>
                <c:pt idx="0">
                  <c:v>TOTAL MENSUAL 2020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-2.5543789784897813E-3"/>
                  <c:y val="-3.9735113151210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24-4EFC-8C2D-37E83157B4B7}"/>
                </c:ext>
              </c:extLst>
            </c:dLbl>
            <c:dLbl>
              <c:idx val="2"/>
              <c:layout>
                <c:manualLayout>
                  <c:x val="1.2742305945933981E-2"/>
                  <c:y val="-4.41488503257481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24-4EFC-8C2D-37E83157B4B7}"/>
                </c:ext>
              </c:extLst>
            </c:dLbl>
            <c:dLbl>
              <c:idx val="3"/>
              <c:layout>
                <c:manualLayout>
                  <c:x val="6.7510548523206804E-3"/>
                  <c:y val="-8.6299892125135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24-4EFC-8C2D-37E83157B4B7}"/>
                </c:ext>
              </c:extLst>
            </c:dLbl>
            <c:dLbl>
              <c:idx val="4"/>
              <c:layout>
                <c:manualLayout>
                  <c:x val="6.7510548523206804E-3"/>
                  <c:y val="8.6299892125135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24-4EFC-8C2D-37E83157B4B7}"/>
                </c:ext>
              </c:extLst>
            </c:dLbl>
            <c:dLbl>
              <c:idx val="5"/>
              <c:layout>
                <c:manualLayout>
                  <c:x val="5.6258790436005714E-3"/>
                  <c:y val="-1.2944983818770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24-4EFC-8C2D-37E83157B4B7}"/>
                </c:ext>
              </c:extLst>
            </c:dLbl>
            <c:dLbl>
              <c:idx val="6"/>
              <c:layout>
                <c:manualLayout>
                  <c:x val="1.12517580872011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C24-4EFC-8C2D-37E83157B4B7}"/>
                </c:ext>
              </c:extLst>
            </c:dLbl>
            <c:dLbl>
              <c:idx val="8"/>
              <c:layout>
                <c:manualLayout>
                  <c:x val="1.68776371308016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24-4EFC-8C2D-37E83157B4B7}"/>
                </c:ext>
              </c:extLst>
            </c:dLbl>
            <c:dLbl>
              <c:idx val="10"/>
              <c:layout>
                <c:manualLayout>
                  <c:x val="8.53105838443081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C0-4847-A042-AC68FEB6A2F8}"/>
                </c:ext>
              </c:extLst>
            </c:dLbl>
            <c:dLbl>
              <c:idx val="11"/>
              <c:layout>
                <c:manualLayout>
                  <c:x val="2.0253164556962036E-2"/>
                  <c:y val="-8.6299892125135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C24-4EFC-8C2D-37E83157B4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VIDRE!$C$47:$N$47</c:f>
              <c:numCache>
                <c:formatCode>#,##0</c:formatCode>
                <c:ptCount val="12"/>
                <c:pt idx="0">
                  <c:v>726420.00000000012</c:v>
                </c:pt>
                <c:pt idx="1">
                  <c:v>449399.99000000011</c:v>
                </c:pt>
                <c:pt idx="2">
                  <c:v>555159.99999999977</c:v>
                </c:pt>
                <c:pt idx="3">
                  <c:v>510319.98999999993</c:v>
                </c:pt>
                <c:pt idx="4">
                  <c:v>465120.02</c:v>
                </c:pt>
                <c:pt idx="5">
                  <c:v>611160.01000000013</c:v>
                </c:pt>
                <c:pt idx="6">
                  <c:v>671139.98</c:v>
                </c:pt>
                <c:pt idx="7">
                  <c:v>550080.00000000023</c:v>
                </c:pt>
                <c:pt idx="8">
                  <c:v>554559.98999999987</c:v>
                </c:pt>
                <c:pt idx="9">
                  <c:v>484320.0199999999</c:v>
                </c:pt>
                <c:pt idx="10">
                  <c:v>515559.98999999993</c:v>
                </c:pt>
                <c:pt idx="11">
                  <c:v>617980.03000000026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C24-4EFC-8C2D-37E83157B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32441600"/>
        <c:axId val="134032384"/>
        <c:axId val="0"/>
      </c:bar3DChart>
      <c:catAx>
        <c:axId val="13244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4032384"/>
        <c:crosses val="autoZero"/>
        <c:auto val="1"/>
        <c:lblAlgn val="ctr"/>
        <c:lblOffset val="100"/>
        <c:noMultiLvlLbl val="0"/>
      </c:catAx>
      <c:valAx>
        <c:axId val="134032384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24416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Vidre 2020-2019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VIDRE!$B$48</c:f>
              <c:strCache>
                <c:ptCount val="1"/>
                <c:pt idx="0">
                  <c:v>TOTAL MENSUAL 2019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3">
                  <a:lumMod val="60000"/>
                  <a:lumOff val="40000"/>
                </a:schemeClr>
              </a:solidFill>
            </c:spPr>
          </c:marker>
          <c:dLbls>
            <c:dLbl>
              <c:idx val="1"/>
              <c:layout>
                <c:manualLayout>
                  <c:x val="-3.8314176245210752E-3"/>
                  <c:y val="3.0905088006496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0C-48CF-B8B9-55B09869127B}"/>
                </c:ext>
              </c:extLst>
            </c:dLbl>
            <c:dLbl>
              <c:idx val="2"/>
              <c:layout>
                <c:manualLayout>
                  <c:x val="-3.8314176245210752E-3"/>
                  <c:y val="1.7660050289426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0C-48CF-B8B9-55B09869127B}"/>
                </c:ext>
              </c:extLst>
            </c:dLbl>
            <c:dLbl>
              <c:idx val="4"/>
              <c:layout>
                <c:manualLayout>
                  <c:x val="-2.1194794470915854E-2"/>
                  <c:y val="-5.3473098579414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0C-48CF-B8B9-55B09869127B}"/>
                </c:ext>
              </c:extLst>
            </c:dLbl>
            <c:dLbl>
              <c:idx val="6"/>
              <c:layout>
                <c:manualLayout>
                  <c:x val="0"/>
                  <c:y val="-2.3598820058996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0C-48CF-B8B9-55B09869127B}"/>
                </c:ext>
              </c:extLst>
            </c:dLbl>
            <c:dLbl>
              <c:idx val="8"/>
              <c:layout>
                <c:manualLayout>
                  <c:x val="-1.6051364365971106E-2"/>
                  <c:y val="3.6205166410728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C7-4675-80D1-5CF8E06950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VIDRE!$C$48:$N$48</c:f>
              <c:numCache>
                <c:formatCode>#,##0</c:formatCode>
                <c:ptCount val="12"/>
                <c:pt idx="0">
                  <c:v>613339.87</c:v>
                </c:pt>
                <c:pt idx="1">
                  <c:v>429160.02</c:v>
                </c:pt>
                <c:pt idx="2">
                  <c:v>422099.99999999994</c:v>
                </c:pt>
                <c:pt idx="3">
                  <c:v>464379.98999999993</c:v>
                </c:pt>
                <c:pt idx="4">
                  <c:v>473939.96</c:v>
                </c:pt>
                <c:pt idx="5">
                  <c:v>412300.00000000006</c:v>
                </c:pt>
                <c:pt idx="6">
                  <c:v>549179.96999999974</c:v>
                </c:pt>
                <c:pt idx="7">
                  <c:v>459940.02</c:v>
                </c:pt>
                <c:pt idx="8">
                  <c:v>546939.98999999987</c:v>
                </c:pt>
                <c:pt idx="9">
                  <c:v>542460.10000000009</c:v>
                </c:pt>
                <c:pt idx="10">
                  <c:v>420879.99999999994</c:v>
                </c:pt>
                <c:pt idx="11">
                  <c:v>530479.97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0C-48CF-B8B9-55B09869127B}"/>
            </c:ext>
          </c:extLst>
        </c:ser>
        <c:ser>
          <c:idx val="41"/>
          <c:order val="1"/>
          <c:tx>
            <c:strRef>
              <c:f>VIDRE!$B$47</c:f>
              <c:strCache>
                <c:ptCount val="1"/>
                <c:pt idx="0">
                  <c:v>TOTAL MENSUAL 2020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</c:spPr>
          </c:marker>
          <c:dLbls>
            <c:dLbl>
              <c:idx val="1"/>
              <c:layout>
                <c:manualLayout>
                  <c:x val="8.6306627401911719E-4"/>
                  <c:y val="-2.353494194503147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0C-48CF-B8B9-55B09869127B}"/>
                </c:ext>
              </c:extLst>
            </c:dLbl>
            <c:dLbl>
              <c:idx val="2"/>
              <c:layout>
                <c:manualLayout>
                  <c:x val="-8.1117950143872811E-3"/>
                  <c:y val="-1.8052219063112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0C-48CF-B8B9-55B09869127B}"/>
                </c:ext>
              </c:extLst>
            </c:dLbl>
            <c:dLbl>
              <c:idx val="3"/>
              <c:layout>
                <c:manualLayout>
                  <c:x val="-9.9502487562189747E-3"/>
                  <c:y val="-5.1130776794493613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6C-4FB1-A442-A283D7C5CADD}"/>
                </c:ext>
              </c:extLst>
            </c:dLbl>
            <c:dLbl>
              <c:idx val="6"/>
              <c:layout>
                <c:manualLayout>
                  <c:x val="-2.2637238256933831E-3"/>
                  <c:y val="-3.5398230088495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0C-48CF-B8B9-55B09869127B}"/>
                </c:ext>
              </c:extLst>
            </c:dLbl>
            <c:dLbl>
              <c:idx val="7"/>
              <c:layout>
                <c:manualLayout>
                  <c:x val="0"/>
                  <c:y val="-2.4136777607152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C7-4675-80D1-5CF8E0695051}"/>
                </c:ext>
              </c:extLst>
            </c:dLbl>
            <c:dLbl>
              <c:idx val="8"/>
              <c:layout>
                <c:manualLayout>
                  <c:x val="0"/>
                  <c:y val="-3.9331366764995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0C-48CF-B8B9-55B09869127B}"/>
                </c:ext>
              </c:extLst>
            </c:dLbl>
            <c:dLbl>
              <c:idx val="9"/>
              <c:layout>
                <c:manualLayout>
                  <c:x val="0"/>
                  <c:y val="2.3688568416678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0C-48CF-B8B9-55B09869127B}"/>
                </c:ext>
              </c:extLst>
            </c:dLbl>
            <c:dLbl>
              <c:idx val="10"/>
              <c:layout>
                <c:manualLayout>
                  <c:x val="-1.0723860589812524E-3"/>
                  <c:y val="2.011397496807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C7-4675-80D1-5CF8E0695051}"/>
                </c:ext>
              </c:extLst>
            </c:dLbl>
            <c:dLbl>
              <c:idx val="11"/>
              <c:layout>
                <c:manualLayout>
                  <c:x val="-2.2637238256933831E-3"/>
                  <c:y val="-5.1130776794493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0C-48CF-B8B9-55B0986912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VIDRE!$C$47:$N$47</c:f>
              <c:numCache>
                <c:formatCode>#,##0</c:formatCode>
                <c:ptCount val="12"/>
                <c:pt idx="0">
                  <c:v>726420.00000000012</c:v>
                </c:pt>
                <c:pt idx="1">
                  <c:v>449399.99000000011</c:v>
                </c:pt>
                <c:pt idx="2">
                  <c:v>555159.99999999977</c:v>
                </c:pt>
                <c:pt idx="3">
                  <c:v>510319.98999999993</c:v>
                </c:pt>
                <c:pt idx="4">
                  <c:v>465120.02</c:v>
                </c:pt>
                <c:pt idx="5">
                  <c:v>611160.01000000013</c:v>
                </c:pt>
                <c:pt idx="6">
                  <c:v>671139.98</c:v>
                </c:pt>
                <c:pt idx="7">
                  <c:v>550080.00000000023</c:v>
                </c:pt>
                <c:pt idx="8">
                  <c:v>554559.98999999987</c:v>
                </c:pt>
                <c:pt idx="9">
                  <c:v>484320.0199999999</c:v>
                </c:pt>
                <c:pt idx="10">
                  <c:v>515559.98999999993</c:v>
                </c:pt>
                <c:pt idx="11">
                  <c:v>617980.03000000026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00C-48CF-B8B9-55B098691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65632"/>
        <c:axId val="64567168"/>
      </c:lineChart>
      <c:catAx>
        <c:axId val="6456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4567168"/>
        <c:crosses val="autoZero"/>
        <c:auto val="1"/>
        <c:lblAlgn val="ctr"/>
        <c:lblOffset val="100"/>
        <c:noMultiLvlLbl val="0"/>
      </c:catAx>
      <c:valAx>
        <c:axId val="64567168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45656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FORM  2020-2019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FORM!$B$45</c:f>
              <c:strCache>
                <c:ptCount val="1"/>
                <c:pt idx="0">
                  <c:v>TOTAL MENSUAL 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771392081736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0E-40C9-8B4A-CBB34E7465EA}"/>
                </c:ext>
              </c:extLst>
            </c:dLbl>
            <c:dLbl>
              <c:idx val="1"/>
              <c:layout>
                <c:manualLayout>
                  <c:x val="-2.554479540632221E-3"/>
                  <c:y val="8.8300251447133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0E-40C9-8B4A-CBB34E7465EA}"/>
                </c:ext>
              </c:extLst>
            </c:dLbl>
            <c:dLbl>
              <c:idx val="2"/>
              <c:layout>
                <c:manualLayout>
                  <c:x val="-1.1494252873563218E-2"/>
                  <c:y val="1.3245037717070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0E-40C9-8B4A-CBB34E7465EA}"/>
                </c:ext>
              </c:extLst>
            </c:dLbl>
            <c:dLbl>
              <c:idx val="3"/>
              <c:layout>
                <c:manualLayout>
                  <c:x val="-5.1085568326947684E-3"/>
                  <c:y val="-1.32453853558556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0E-40C9-8B4A-CBB34E7465EA}"/>
                </c:ext>
              </c:extLst>
            </c:dLbl>
            <c:dLbl>
              <c:idx val="4"/>
              <c:layout>
                <c:manualLayout>
                  <c:x val="5.1085568326947684E-3"/>
                  <c:y val="-2.2075062861784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0E-40C9-8B4A-CBB34E7465EA}"/>
                </c:ext>
              </c:extLst>
            </c:dLbl>
            <c:dLbl>
              <c:idx val="5"/>
              <c:layout>
                <c:manualLayout>
                  <c:x val="0"/>
                  <c:y val="-4.41501257235666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0E-40C9-8B4A-CBB34E7465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FORM!$C$45:$N$45</c:f>
              <c:numCache>
                <c:formatCode>#,##0</c:formatCode>
                <c:ptCount val="12"/>
                <c:pt idx="0">
                  <c:v>405240</c:v>
                </c:pt>
                <c:pt idx="1">
                  <c:v>382840</c:v>
                </c:pt>
                <c:pt idx="2">
                  <c:v>437290.01</c:v>
                </c:pt>
                <c:pt idx="3">
                  <c:v>452979.99</c:v>
                </c:pt>
                <c:pt idx="4">
                  <c:v>513380</c:v>
                </c:pt>
                <c:pt idx="5">
                  <c:v>485940.01</c:v>
                </c:pt>
                <c:pt idx="6">
                  <c:v>532980.03</c:v>
                </c:pt>
                <c:pt idx="7">
                  <c:v>474860</c:v>
                </c:pt>
                <c:pt idx="8">
                  <c:v>485100</c:v>
                </c:pt>
                <c:pt idx="9">
                  <c:v>472620</c:v>
                </c:pt>
                <c:pt idx="10">
                  <c:v>436300</c:v>
                </c:pt>
                <c:pt idx="11">
                  <c:v>479600.01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0E-40C9-8B4A-CBB34E7465EA}"/>
            </c:ext>
          </c:extLst>
        </c:ser>
        <c:ser>
          <c:idx val="41"/>
          <c:order val="1"/>
          <c:tx>
            <c:strRef>
              <c:f>FORM!$B$1</c:f>
              <c:strCache>
                <c:ptCount val="1"/>
                <c:pt idx="0">
                  <c:v>ORGÀNICA - 2020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775281504229298E-2"/>
                  <c:y val="-8.07102502017756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0E-40C9-8B4A-CBB34E7465EA}"/>
                </c:ext>
              </c:extLst>
            </c:dLbl>
            <c:dLbl>
              <c:idx val="1"/>
              <c:layout>
                <c:manualLayout>
                  <c:x val="-1.0056214239929523E-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0E-40C9-8B4A-CBB34E7465EA}"/>
                </c:ext>
              </c:extLst>
            </c:dLbl>
            <c:dLbl>
              <c:idx val="4"/>
              <c:layout>
                <c:manualLayout>
                  <c:x val="1.5886524822695043E-2"/>
                  <c:y val="-1.1627906976744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0E-40C9-8B4A-CBB34E7465EA}"/>
                </c:ext>
              </c:extLst>
            </c:dLbl>
            <c:dLbl>
              <c:idx val="5"/>
              <c:layout>
                <c:manualLayout>
                  <c:x val="1.149425287356321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80E-40C9-8B4A-CBB34E7465EA}"/>
                </c:ext>
              </c:extLst>
            </c:dLbl>
            <c:dLbl>
              <c:idx val="6"/>
              <c:layout>
                <c:manualLayout>
                  <c:x val="1.4026827858792407E-2"/>
                  <c:y val="4.0968349852934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0E-40C9-8B4A-CBB34E7465EA}"/>
                </c:ext>
              </c:extLst>
            </c:dLbl>
            <c:dLbl>
              <c:idx val="7"/>
              <c:layout>
                <c:manualLayout>
                  <c:x val="1.0789867583686547E-2"/>
                  <c:y val="-4.0968349852934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80E-40C9-8B4A-CBB34E7465EA}"/>
                </c:ext>
              </c:extLst>
            </c:dLbl>
            <c:dLbl>
              <c:idx val="8"/>
              <c:layout>
                <c:manualLayout>
                  <c:x val="4.5390070921988409E-3"/>
                  <c:y val="-1.1627906976744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80E-40C9-8B4A-CBB34E7465EA}"/>
                </c:ext>
              </c:extLst>
            </c:dLbl>
            <c:dLbl>
              <c:idx val="9"/>
              <c:layout>
                <c:manualLayout>
                  <c:x val="1.1347517730496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80E-40C9-8B4A-CBB34E7465EA}"/>
                </c:ext>
              </c:extLst>
            </c:dLbl>
            <c:dLbl>
              <c:idx val="10"/>
              <c:layout>
                <c:manualLayout>
                  <c:x val="6.4568200161420524E-3"/>
                  <c:y val="-3.228410008071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80E-40C9-8B4A-CBB34E7465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FORM!$C$44:$N$44</c:f>
              <c:numCache>
                <c:formatCode>#,##0</c:formatCode>
                <c:ptCount val="12"/>
                <c:pt idx="0">
                  <c:v>440780.04</c:v>
                </c:pt>
                <c:pt idx="1">
                  <c:v>433039.99</c:v>
                </c:pt>
                <c:pt idx="2">
                  <c:v>478840</c:v>
                </c:pt>
                <c:pt idx="3">
                  <c:v>534160</c:v>
                </c:pt>
                <c:pt idx="4">
                  <c:v>574699.99999999988</c:v>
                </c:pt>
                <c:pt idx="5">
                  <c:v>578519.99999999988</c:v>
                </c:pt>
                <c:pt idx="6">
                  <c:v>560240.01000000013</c:v>
                </c:pt>
                <c:pt idx="7">
                  <c:v>538654</c:v>
                </c:pt>
                <c:pt idx="8">
                  <c:v>508699.99</c:v>
                </c:pt>
                <c:pt idx="9">
                  <c:v>486720</c:v>
                </c:pt>
                <c:pt idx="10">
                  <c:v>479620</c:v>
                </c:pt>
                <c:pt idx="11">
                  <c:v>459880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80E-40C9-8B4A-CBB34E746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1466880"/>
        <c:axId val="81492992"/>
        <c:axId val="0"/>
      </c:bar3DChart>
      <c:catAx>
        <c:axId val="8146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1492992"/>
        <c:crosses val="autoZero"/>
        <c:auto val="1"/>
        <c:lblAlgn val="ctr"/>
        <c:lblOffset val="100"/>
        <c:noMultiLvlLbl val="0"/>
      </c:catAx>
      <c:valAx>
        <c:axId val="81492992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14668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81915</xdr:rowOff>
    </xdr:from>
    <xdr:to>
      <xdr:col>14</xdr:col>
      <xdr:colOff>581025</xdr:colOff>
      <xdr:row>65</xdr:row>
      <xdr:rowOff>112395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14</xdr:col>
      <xdr:colOff>579120</xdr:colOff>
      <xdr:row>82</xdr:row>
      <xdr:rowOff>175260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81915</xdr:rowOff>
    </xdr:from>
    <xdr:to>
      <xdr:col>14</xdr:col>
      <xdr:colOff>581025</xdr:colOff>
      <xdr:row>65</xdr:row>
      <xdr:rowOff>112395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14</xdr:col>
      <xdr:colOff>579120</xdr:colOff>
      <xdr:row>82</xdr:row>
      <xdr:rowOff>175260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35982</xdr:colOff>
      <xdr:row>52</xdr:row>
      <xdr:rowOff>26458</xdr:rowOff>
    </xdr:from>
    <xdr:to>
      <xdr:col>14</xdr:col>
      <xdr:colOff>378882</xdr:colOff>
      <xdr:row>67</xdr:row>
      <xdr:rowOff>74083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23283</xdr:colOff>
      <xdr:row>68</xdr:row>
      <xdr:rowOff>135467</xdr:rowOff>
    </xdr:from>
    <xdr:to>
      <xdr:col>14</xdr:col>
      <xdr:colOff>377825</xdr:colOff>
      <xdr:row>83</xdr:row>
      <xdr:rowOff>130175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185208</xdr:rowOff>
    </xdr:from>
    <xdr:to>
      <xdr:col>14</xdr:col>
      <xdr:colOff>504825</xdr:colOff>
      <xdr:row>69</xdr:row>
      <xdr:rowOff>84666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27517</xdr:colOff>
      <xdr:row>70</xdr:row>
      <xdr:rowOff>178858</xdr:rowOff>
    </xdr:from>
    <xdr:to>
      <xdr:col>14</xdr:col>
      <xdr:colOff>465667</xdr:colOff>
      <xdr:row>87</xdr:row>
      <xdr:rowOff>169333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50</xdr:row>
      <xdr:rowOff>3810</xdr:rowOff>
    </xdr:from>
    <xdr:to>
      <xdr:col>14</xdr:col>
      <xdr:colOff>428625</xdr:colOff>
      <xdr:row>67</xdr:row>
      <xdr:rowOff>41910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350520</xdr:colOff>
      <xdr:row>68</xdr:row>
      <xdr:rowOff>15240</xdr:rowOff>
    </xdr:from>
    <xdr:to>
      <xdr:col>14</xdr:col>
      <xdr:colOff>415290</xdr:colOff>
      <xdr:row>85</xdr:row>
      <xdr:rowOff>13335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50</xdr:row>
      <xdr:rowOff>17145</xdr:rowOff>
    </xdr:from>
    <xdr:to>
      <xdr:col>14</xdr:col>
      <xdr:colOff>369570</xdr:colOff>
      <xdr:row>66</xdr:row>
      <xdr:rowOff>17145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</xdr:colOff>
      <xdr:row>67</xdr:row>
      <xdr:rowOff>53340</xdr:rowOff>
    </xdr:from>
    <xdr:to>
      <xdr:col>14</xdr:col>
      <xdr:colOff>367665</xdr:colOff>
      <xdr:row>83</xdr:row>
      <xdr:rowOff>53340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" displayName="Tabla2" ref="A4:O47" totalsRowShown="0" headerRowDxfId="114" dataDxfId="112" headerRowBorderDxfId="113" tableBorderDxfId="111" totalsRowBorderDxfId="110">
  <sortState xmlns:xlrd2="http://schemas.microsoft.com/office/spreadsheetml/2017/richdata2" ref="A5:O48">
    <sortCondition ref="A5:A48"/>
  </sortState>
  <tableColumns count="15">
    <tableColumn id="15" xr3:uid="{00000000-0010-0000-0000-00000F000000}" name="Núm." dataDxfId="109"/>
    <tableColumn id="1" xr3:uid="{00000000-0010-0000-0000-000001000000}" name="Població" dataDxfId="108"/>
    <tableColumn id="2" xr3:uid="{00000000-0010-0000-0000-000002000000}" name="Gener" dataDxfId="107"/>
    <tableColumn id="3" xr3:uid="{00000000-0010-0000-0000-000003000000}" name="Febrer" dataDxfId="106"/>
    <tableColumn id="4" xr3:uid="{00000000-0010-0000-0000-000004000000}" name="Març" dataDxfId="105"/>
    <tableColumn id="5" xr3:uid="{00000000-0010-0000-0000-000005000000}" name="Abril" dataDxfId="104"/>
    <tableColumn id="6" xr3:uid="{00000000-0010-0000-0000-000006000000}" name="Maig" dataDxfId="103"/>
    <tableColumn id="7" xr3:uid="{00000000-0010-0000-0000-000007000000}" name="Juny" dataDxfId="102"/>
    <tableColumn id="8" xr3:uid="{00000000-0010-0000-0000-000008000000}" name="Juliol" dataDxfId="101"/>
    <tableColumn id="9" xr3:uid="{00000000-0010-0000-0000-000009000000}" name="Agost" dataDxfId="100"/>
    <tableColumn id="10" xr3:uid="{00000000-0010-0000-0000-00000A000000}" name="Setembre" dataDxfId="99"/>
    <tableColumn id="11" xr3:uid="{00000000-0010-0000-0000-00000B000000}" name="Octubre" dataDxfId="98"/>
    <tableColumn id="12" xr3:uid="{00000000-0010-0000-0000-00000C000000}" name="Novembre" dataDxfId="97"/>
    <tableColumn id="13" xr3:uid="{00000000-0010-0000-0000-00000D000000}" name="Desembre" dataDxfId="96"/>
    <tableColumn id="14" xr3:uid="{00000000-0010-0000-0000-00000E000000}" name="TOTAL" dataDxfId="95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5" displayName="Tabla25" ref="A4:O47" totalsRowShown="0" headerRowDxfId="94" dataDxfId="92" headerRowBorderDxfId="93" tableBorderDxfId="91" totalsRowBorderDxfId="90">
  <sortState xmlns:xlrd2="http://schemas.microsoft.com/office/spreadsheetml/2017/richdata2" ref="A5:O48">
    <sortCondition ref="A5:A48"/>
  </sortState>
  <tableColumns count="15">
    <tableColumn id="15" xr3:uid="{00000000-0010-0000-0100-00000F000000}" name="Núm." dataDxfId="89"/>
    <tableColumn id="1" xr3:uid="{00000000-0010-0000-0100-000001000000}" name="Població" dataDxfId="88"/>
    <tableColumn id="2" xr3:uid="{00000000-0010-0000-0100-000002000000}" name="Gener" dataDxfId="87"/>
    <tableColumn id="3" xr3:uid="{00000000-0010-0000-0100-000003000000}" name="Febrer" dataDxfId="86"/>
    <tableColumn id="4" xr3:uid="{00000000-0010-0000-0100-000004000000}" name="Març" dataDxfId="85"/>
    <tableColumn id="5" xr3:uid="{00000000-0010-0000-0100-000005000000}" name="Abril" dataDxfId="84"/>
    <tableColumn id="6" xr3:uid="{00000000-0010-0000-0100-000006000000}" name="Maig" dataDxfId="83"/>
    <tableColumn id="7" xr3:uid="{00000000-0010-0000-0100-000007000000}" name="Juny" dataDxfId="82"/>
    <tableColumn id="8" xr3:uid="{00000000-0010-0000-0100-000008000000}" name="Juliol" dataDxfId="81"/>
    <tableColumn id="9" xr3:uid="{00000000-0010-0000-0100-000009000000}" name="Agost" dataDxfId="80"/>
    <tableColumn id="10" xr3:uid="{00000000-0010-0000-0100-00000A000000}" name="Setembre" dataDxfId="79"/>
    <tableColumn id="11" xr3:uid="{00000000-0010-0000-0100-00000B000000}" name="Octubre" dataDxfId="78"/>
    <tableColumn id="12" xr3:uid="{00000000-0010-0000-0100-00000C000000}" name="Novembre" dataDxfId="77"/>
    <tableColumn id="13" xr3:uid="{00000000-0010-0000-0100-00000D000000}" name="Desembre" dataDxfId="76"/>
    <tableColumn id="14" xr3:uid="{00000000-0010-0000-0100-00000E000000}" name="TOTAL" dataDxfId="75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a3" displayName="Tabla3" ref="A3:O48" totalsRowShown="0" headerRowDxfId="74" dataDxfId="73" tableBorderDxfId="72">
  <sortState xmlns:xlrd2="http://schemas.microsoft.com/office/spreadsheetml/2017/richdata2" ref="A4:O47">
    <sortCondition ref="A5:A48"/>
  </sortState>
  <tableColumns count="15">
    <tableColumn id="15" xr3:uid="{00000000-0010-0000-0200-00000F000000}" name="Núm. " dataDxfId="71"/>
    <tableColumn id="1" xr3:uid="{00000000-0010-0000-0200-000001000000}" name="Població" dataDxfId="70"/>
    <tableColumn id="2" xr3:uid="{00000000-0010-0000-0200-000002000000}" name="Gener" dataDxfId="69"/>
    <tableColumn id="3" xr3:uid="{00000000-0010-0000-0200-000003000000}" name="Febrer" dataDxfId="68"/>
    <tableColumn id="4" xr3:uid="{00000000-0010-0000-0200-000004000000}" name="Març" dataDxfId="67"/>
    <tableColumn id="5" xr3:uid="{00000000-0010-0000-0200-000005000000}" name="Abril" dataDxfId="66"/>
    <tableColumn id="6" xr3:uid="{00000000-0010-0000-0200-000006000000}" name="Maig" dataDxfId="65"/>
    <tableColumn id="7" xr3:uid="{00000000-0010-0000-0200-000007000000}" name="Juny" dataDxfId="64"/>
    <tableColumn id="8" xr3:uid="{00000000-0010-0000-0200-000008000000}" name="Juliol" dataDxfId="63"/>
    <tableColumn id="9" xr3:uid="{00000000-0010-0000-0200-000009000000}" name="Agost" dataDxfId="62"/>
    <tableColumn id="10" xr3:uid="{00000000-0010-0000-0200-00000A000000}" name="Setembre" dataDxfId="61"/>
    <tableColumn id="11" xr3:uid="{00000000-0010-0000-0200-00000B000000}" name="Octubre" dataDxfId="60"/>
    <tableColumn id="12" xr3:uid="{00000000-0010-0000-0200-00000C000000}" name="Novembre" dataDxfId="59"/>
    <tableColumn id="13" xr3:uid="{00000000-0010-0000-0200-00000D000000}" name="Desembre" dataDxfId="58"/>
    <tableColumn id="14" xr3:uid="{00000000-0010-0000-0200-00000E000000}" name="TOTAL" dataDxfId="57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a5" displayName="Tabla5" ref="A4:O49" totalsRowShown="0" headerRowDxfId="56" dataDxfId="55" tableBorderDxfId="54">
  <sortState xmlns:xlrd2="http://schemas.microsoft.com/office/spreadsheetml/2017/richdata2" ref="A5:O48">
    <sortCondition ref="A5:A48"/>
  </sortState>
  <tableColumns count="15">
    <tableColumn id="15" xr3:uid="{00000000-0010-0000-0300-00000F000000}" name="Núm." dataDxfId="53"/>
    <tableColumn id="1" xr3:uid="{00000000-0010-0000-0300-000001000000}" name="Població" dataDxfId="52"/>
    <tableColumn id="2" xr3:uid="{00000000-0010-0000-0300-000002000000}" name="Gener" dataDxfId="51"/>
    <tableColumn id="3" xr3:uid="{00000000-0010-0000-0300-000003000000}" name="Febrer" dataDxfId="50"/>
    <tableColumn id="4" xr3:uid="{00000000-0010-0000-0300-000004000000}" name="Març" dataDxfId="49"/>
    <tableColumn id="5" xr3:uid="{00000000-0010-0000-0300-000005000000}" name="Abril" dataDxfId="48"/>
    <tableColumn id="6" xr3:uid="{00000000-0010-0000-0300-000006000000}" name="Maig" dataDxfId="47"/>
    <tableColumn id="7" xr3:uid="{00000000-0010-0000-0300-000007000000}" name="Juny" dataDxfId="46"/>
    <tableColumn id="8" xr3:uid="{00000000-0010-0000-0300-000008000000}" name="Juliol" dataDxfId="45"/>
    <tableColumn id="9" xr3:uid="{00000000-0010-0000-0300-000009000000}" name="Agost" dataDxfId="44"/>
    <tableColumn id="10" xr3:uid="{00000000-0010-0000-0300-00000A000000}" name="Setembre" dataDxfId="43"/>
    <tableColumn id="11" xr3:uid="{00000000-0010-0000-0300-00000B000000}" name="Octubre" dataDxfId="42"/>
    <tableColumn id="12" xr3:uid="{00000000-0010-0000-0300-00000C000000}" name="Novembre" dataDxfId="41"/>
    <tableColumn id="13" xr3:uid="{00000000-0010-0000-0300-00000D000000}" name="Desembre" dataDxfId="40"/>
    <tableColumn id="14" xr3:uid="{00000000-0010-0000-0300-00000E000000}" name="TOTAL" dataDxfId="39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a8" displayName="Tabla8" ref="A3:O46" totalsRowShown="0" headerRowDxfId="38" dataDxfId="37" tableBorderDxfId="36">
  <sortState xmlns:xlrd2="http://schemas.microsoft.com/office/spreadsheetml/2017/richdata2" ref="A4:O47">
    <sortCondition ref="A4:A47"/>
  </sortState>
  <tableColumns count="15">
    <tableColumn id="15" xr3:uid="{00000000-0010-0000-0400-00000F000000}" name="Núm." dataDxfId="35"/>
    <tableColumn id="1" xr3:uid="{00000000-0010-0000-0400-000001000000}" name="Població" dataDxfId="34"/>
    <tableColumn id="2" xr3:uid="{00000000-0010-0000-0400-000002000000}" name="Gener" dataDxfId="33"/>
    <tableColumn id="3" xr3:uid="{00000000-0010-0000-0400-000003000000}" name="Febrer" dataDxfId="32"/>
    <tableColumn id="4" xr3:uid="{00000000-0010-0000-0400-000004000000}" name="Març" dataDxfId="31"/>
    <tableColumn id="5" xr3:uid="{00000000-0010-0000-0400-000005000000}" name="Abril" dataDxfId="30"/>
    <tableColumn id="6" xr3:uid="{00000000-0010-0000-0400-000006000000}" name="Maig" dataDxfId="29"/>
    <tableColumn id="7" xr3:uid="{00000000-0010-0000-0400-000007000000}" name="Juny" dataDxfId="28"/>
    <tableColumn id="8" xr3:uid="{00000000-0010-0000-0400-000008000000}" name="Juliol" dataDxfId="27"/>
    <tableColumn id="9" xr3:uid="{00000000-0010-0000-0400-000009000000}" name="Agost" dataDxfId="26"/>
    <tableColumn id="10" xr3:uid="{00000000-0010-0000-0400-00000A000000}" name="Setembre" dataDxfId="25"/>
    <tableColumn id="11" xr3:uid="{00000000-0010-0000-0400-00000B000000}" name="Octubre" dataDxfId="24"/>
    <tableColumn id="12" xr3:uid="{00000000-0010-0000-0400-00000C000000}" name="Novembre" dataDxfId="23"/>
    <tableColumn id="13" xr3:uid="{00000000-0010-0000-0400-00000D000000}" name="Desembre" dataDxfId="22"/>
    <tableColumn id="14" xr3:uid="{00000000-0010-0000-0400-00000E000000}" name="TOTAL" dataDxfId="21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a12" displayName="Tabla12" ref="A3:O43" totalsRowShown="0" headerRowDxfId="20" dataDxfId="18" headerRowBorderDxfId="19" tableBorderDxfId="17" totalsRowBorderDxfId="16">
  <sortState xmlns:xlrd2="http://schemas.microsoft.com/office/spreadsheetml/2017/richdata2" ref="A4:O44">
    <sortCondition ref="A4:A44"/>
  </sortState>
  <tableColumns count="15">
    <tableColumn id="15" xr3:uid="{00000000-0010-0000-0500-00000F000000}" name="Núm." dataDxfId="15"/>
    <tableColumn id="1" xr3:uid="{00000000-0010-0000-0500-000001000000}" name="Població" dataDxfId="14"/>
    <tableColumn id="2" xr3:uid="{00000000-0010-0000-0500-000002000000}" name="Gener" dataDxfId="13"/>
    <tableColumn id="3" xr3:uid="{00000000-0010-0000-0500-000003000000}" name="Febrer" dataDxfId="12"/>
    <tableColumn id="4" xr3:uid="{00000000-0010-0000-0500-000004000000}" name="Març" dataDxfId="11"/>
    <tableColumn id="5" xr3:uid="{00000000-0010-0000-0500-000005000000}" name="Abril" dataDxfId="10"/>
    <tableColumn id="6" xr3:uid="{00000000-0010-0000-0500-000006000000}" name="Maig" dataDxfId="9"/>
    <tableColumn id="7" xr3:uid="{00000000-0010-0000-0500-000007000000}" name="Juny" dataDxfId="8"/>
    <tableColumn id="8" xr3:uid="{00000000-0010-0000-0500-000008000000}" name="Juliol" dataDxfId="7"/>
    <tableColumn id="9" xr3:uid="{00000000-0010-0000-0500-000009000000}" name="Agost" dataDxfId="6"/>
    <tableColumn id="10" xr3:uid="{00000000-0010-0000-0500-00000A000000}" name="Setembre" dataDxfId="5"/>
    <tableColumn id="11" xr3:uid="{00000000-0010-0000-0500-00000B000000}" name="Octubre" dataDxfId="4"/>
    <tableColumn id="12" xr3:uid="{00000000-0010-0000-0500-00000C000000}" name="Novembre" dataDxfId="3"/>
    <tableColumn id="13" xr3:uid="{00000000-0010-0000-0500-00000D000000}" name="Desembre" dataDxfId="2"/>
    <tableColumn id="14" xr3:uid="{00000000-0010-0000-0500-00000E000000}" name="TOTAL" dataDxfId="1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50"/>
  <sheetViews>
    <sheetView showZeros="0" tabSelected="1" zoomScale="90" zoomScaleNormal="90" workbookViewId="0">
      <selection activeCell="I23" sqref="I23"/>
    </sheetView>
  </sheetViews>
  <sheetFormatPr baseColWidth="10" defaultColWidth="11.42578125" defaultRowHeight="15" x14ac:dyDescent="0.25"/>
  <cols>
    <col min="1" max="1" width="5.5703125" style="1" customWidth="1"/>
    <col min="2" max="2" width="26.140625" style="1" bestFit="1" customWidth="1"/>
    <col min="3" max="6" width="11.42578125" style="3"/>
    <col min="7" max="10" width="11.42578125" style="3" customWidth="1"/>
    <col min="11" max="11" width="11.85546875" style="3" customWidth="1"/>
    <col min="12" max="12" width="11.42578125" style="3" customWidth="1"/>
    <col min="13" max="13" width="12.5703125" style="3" customWidth="1"/>
    <col min="14" max="14" width="12.42578125" style="3" customWidth="1"/>
    <col min="15" max="15" width="11.42578125" style="3"/>
    <col min="16" max="16384" width="11.42578125" style="1"/>
  </cols>
  <sheetData>
    <row r="2" spans="1:15" ht="15.75" x14ac:dyDescent="0.25">
      <c r="B2" s="2" t="s">
        <v>0</v>
      </c>
    </row>
    <row r="3" spans="1:15" ht="15.75" thickBot="1" x14ac:dyDescent="0.3">
      <c r="C3" s="4" t="s">
        <v>1</v>
      </c>
    </row>
    <row r="4" spans="1:15" ht="15.75" thickBot="1" x14ac:dyDescent="0.3">
      <c r="A4" s="5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9" t="s">
        <v>15</v>
      </c>
      <c r="O4" s="5" t="s">
        <v>16</v>
      </c>
    </row>
    <row r="5" spans="1:15" x14ac:dyDescent="0.25">
      <c r="A5" s="10">
        <v>1</v>
      </c>
      <c r="B5" s="11" t="s">
        <v>17</v>
      </c>
      <c r="C5" s="12">
        <f>519+15667.75</f>
        <v>16186.75</v>
      </c>
      <c r="D5" s="13">
        <v>12965.5</v>
      </c>
      <c r="E5" s="13">
        <v>15839.04</v>
      </c>
      <c r="F5" s="13">
        <f>255+18597.6</f>
        <v>18852.599999999999</v>
      </c>
      <c r="G5" s="13">
        <v>17290</v>
      </c>
      <c r="H5" s="13">
        <v>18536.11</v>
      </c>
      <c r="I5" s="13">
        <v>15777.91</v>
      </c>
      <c r="J5" s="13">
        <v>14534.2</v>
      </c>
      <c r="K5" s="13">
        <v>17076.91</v>
      </c>
      <c r="L5" s="13">
        <v>15913.29</v>
      </c>
      <c r="M5" s="13">
        <v>15801.28</v>
      </c>
      <c r="N5" s="14">
        <v>20862.22</v>
      </c>
      <c r="O5" s="15">
        <f>SUM(Tabla2[[#This Row],[Gener]:[Desembre]])</f>
        <v>199635.81</v>
      </c>
    </row>
    <row r="6" spans="1:15" x14ac:dyDescent="0.25">
      <c r="A6" s="16">
        <v>2</v>
      </c>
      <c r="B6" s="17" t="s">
        <v>18</v>
      </c>
      <c r="C6" s="18">
        <f>320+12200</f>
        <v>12520</v>
      </c>
      <c r="D6" s="19">
        <v>10296</v>
      </c>
      <c r="E6" s="19">
        <v>13225</v>
      </c>
      <c r="F6" s="19">
        <f>265+14953.96</f>
        <v>15218.96</v>
      </c>
      <c r="G6" s="19">
        <v>14250</v>
      </c>
      <c r="H6" s="19">
        <v>15195</v>
      </c>
      <c r="I6" s="19">
        <v>14324.86</v>
      </c>
      <c r="J6" s="19">
        <v>14440</v>
      </c>
      <c r="K6" s="13">
        <v>15082.75</v>
      </c>
      <c r="L6" s="19">
        <v>11685.14</v>
      </c>
      <c r="M6" s="19">
        <v>11345</v>
      </c>
      <c r="N6" s="20">
        <v>15980</v>
      </c>
      <c r="O6" s="21">
        <f>SUM(Tabla2[[#This Row],[Gener]:[Desembre]])</f>
        <v>163562.71</v>
      </c>
    </row>
    <row r="7" spans="1:15" x14ac:dyDescent="0.25">
      <c r="A7" s="16">
        <v>3</v>
      </c>
      <c r="B7" s="17" t="s">
        <v>19</v>
      </c>
      <c r="C7" s="18">
        <f>640+40440.92</f>
        <v>41080.92</v>
      </c>
      <c r="D7" s="19">
        <v>32268.78</v>
      </c>
      <c r="E7" s="19">
        <v>38451.019999999997</v>
      </c>
      <c r="F7" s="19">
        <f>285+37314.48</f>
        <v>37599.480000000003</v>
      </c>
      <c r="G7" s="19">
        <v>38713.870000000003</v>
      </c>
      <c r="H7" s="19">
        <v>43606.23</v>
      </c>
      <c r="I7" s="19">
        <v>39129.449999999997</v>
      </c>
      <c r="J7" s="19">
        <v>35887.85</v>
      </c>
      <c r="K7" s="13">
        <v>39661.230000000003</v>
      </c>
      <c r="L7" s="19">
        <v>36990.35</v>
      </c>
      <c r="M7" s="19">
        <v>40135.040000000001</v>
      </c>
      <c r="N7" s="20">
        <v>38943.68</v>
      </c>
      <c r="O7" s="21">
        <f>SUM(Tabla2[[#This Row],[Gener]:[Desembre]])</f>
        <v>462467.89999999991</v>
      </c>
    </row>
    <row r="8" spans="1:15" x14ac:dyDescent="0.25">
      <c r="A8" s="16">
        <v>4</v>
      </c>
      <c r="B8" s="17" t="s">
        <v>20</v>
      </c>
      <c r="C8" s="18">
        <v>1324.26</v>
      </c>
      <c r="D8" s="19">
        <v>1249.1400000000001</v>
      </c>
      <c r="E8" s="19">
        <v>1156.3399999999999</v>
      </c>
      <c r="F8" s="19">
        <v>1370.01</v>
      </c>
      <c r="G8" s="19">
        <v>952.98</v>
      </c>
      <c r="H8" s="19">
        <v>1158.94</v>
      </c>
      <c r="I8" s="19">
        <v>2059.7399999999998</v>
      </c>
      <c r="J8" s="19">
        <v>1521.69</v>
      </c>
      <c r="K8" s="13">
        <v>1639.34</v>
      </c>
      <c r="L8" s="19">
        <v>1179.92</v>
      </c>
      <c r="M8" s="19">
        <v>653.09</v>
      </c>
      <c r="N8" s="20">
        <v>1188.6199999999999</v>
      </c>
      <c r="O8" s="21">
        <f>SUM(Tabla2[[#This Row],[Gener]:[Desembre]])</f>
        <v>15454.07</v>
      </c>
    </row>
    <row r="9" spans="1:15" x14ac:dyDescent="0.25">
      <c r="A9" s="16">
        <v>5</v>
      </c>
      <c r="B9" s="17" t="s">
        <v>21</v>
      </c>
      <c r="C9" s="18">
        <f>920+15880.66</f>
        <v>16800.66</v>
      </c>
      <c r="D9" s="19">
        <v>15943.84</v>
      </c>
      <c r="E9" s="19">
        <v>19101.47</v>
      </c>
      <c r="F9" s="19">
        <f>470+19684.57</f>
        <v>20154.57</v>
      </c>
      <c r="G9" s="19">
        <v>15690.54</v>
      </c>
      <c r="H9" s="19">
        <v>19811.91</v>
      </c>
      <c r="I9" s="19">
        <v>19578.86</v>
      </c>
      <c r="J9" s="19">
        <v>13080</v>
      </c>
      <c r="K9" s="13">
        <v>21160</v>
      </c>
      <c r="L9" s="19">
        <v>20980</v>
      </c>
      <c r="M9" s="19">
        <v>18080</v>
      </c>
      <c r="N9" s="20">
        <v>24428</v>
      </c>
      <c r="O9" s="21">
        <f>SUM(Tabla2[[#This Row],[Gener]:[Desembre]])</f>
        <v>224809.85000000003</v>
      </c>
    </row>
    <row r="10" spans="1:15" x14ac:dyDescent="0.25">
      <c r="A10" s="16">
        <v>6</v>
      </c>
      <c r="B10" s="17" t="s">
        <v>22</v>
      </c>
      <c r="C10" s="18">
        <f>2250.38+35395.94</f>
        <v>37646.32</v>
      </c>
      <c r="D10" s="19">
        <v>32430.67</v>
      </c>
      <c r="E10" s="19">
        <v>35027.68</v>
      </c>
      <c r="F10" s="19">
        <f>1010+33121.02</f>
        <v>34131.019999999997</v>
      </c>
      <c r="G10" s="19">
        <v>37393.339999999997</v>
      </c>
      <c r="H10" s="19">
        <v>38193.86</v>
      </c>
      <c r="I10" s="19">
        <v>40261.32</v>
      </c>
      <c r="J10" s="19">
        <v>34748.080000000002</v>
      </c>
      <c r="K10" s="13">
        <v>35468.36</v>
      </c>
      <c r="L10" s="19">
        <v>32390.31</v>
      </c>
      <c r="M10" s="19">
        <v>39527.43</v>
      </c>
      <c r="N10" s="20">
        <v>42115.76</v>
      </c>
      <c r="O10" s="21">
        <f>SUM(Tabla2[[#This Row],[Gener]:[Desembre]])</f>
        <v>439334.14999999997</v>
      </c>
    </row>
    <row r="11" spans="1:15" x14ac:dyDescent="0.25">
      <c r="A11" s="16">
        <v>8</v>
      </c>
      <c r="B11" s="22" t="s">
        <v>23</v>
      </c>
      <c r="C11" s="18">
        <v>1906.11</v>
      </c>
      <c r="D11" s="19">
        <v>2051.6</v>
      </c>
      <c r="E11" s="19">
        <v>2091.92</v>
      </c>
      <c r="F11" s="19">
        <v>2282.7199999999998</v>
      </c>
      <c r="G11" s="19">
        <v>1467.38</v>
      </c>
      <c r="H11" s="19">
        <v>1919.05</v>
      </c>
      <c r="I11" s="19">
        <v>4295.16</v>
      </c>
      <c r="J11" s="19">
        <v>2840.38</v>
      </c>
      <c r="K11" s="13">
        <v>3043.06</v>
      </c>
      <c r="L11" s="19">
        <v>2001.71</v>
      </c>
      <c r="M11" s="19">
        <v>1154.79</v>
      </c>
      <c r="N11" s="20">
        <v>1744.16</v>
      </c>
      <c r="O11" s="23">
        <f>SUM(Tabla2[[#This Row],[Gener]:[Desembre]])</f>
        <v>26798.04</v>
      </c>
    </row>
    <row r="12" spans="1:15" x14ac:dyDescent="0.25">
      <c r="A12" s="16">
        <v>9</v>
      </c>
      <c r="B12" s="17" t="s">
        <v>24</v>
      </c>
      <c r="C12" s="18"/>
      <c r="D12" s="19">
        <v>0</v>
      </c>
      <c r="E12" s="19"/>
      <c r="F12" s="19"/>
      <c r="G12" s="19"/>
      <c r="H12" s="19"/>
      <c r="I12" s="19"/>
      <c r="J12" s="19"/>
      <c r="K12" s="19"/>
      <c r="L12" s="19">
        <v>0</v>
      </c>
      <c r="M12" s="19">
        <v>0</v>
      </c>
      <c r="N12" s="19"/>
      <c r="O12" s="21">
        <f>SUM(Tabla2[[#This Row],[Gener]:[Desembre]])</f>
        <v>0</v>
      </c>
    </row>
    <row r="13" spans="1:15" x14ac:dyDescent="0.25">
      <c r="A13" s="16">
        <v>10</v>
      </c>
      <c r="B13" s="11" t="s">
        <v>25</v>
      </c>
      <c r="C13" s="18">
        <f>1945+32417.51+600</f>
        <v>34962.509999999995</v>
      </c>
      <c r="D13" s="19">
        <v>25196.5</v>
      </c>
      <c r="E13" s="19">
        <v>27896.6</v>
      </c>
      <c r="F13" s="19">
        <f>780+31583.87</f>
        <v>32363.87</v>
      </c>
      <c r="G13" s="19">
        <v>28499.41</v>
      </c>
      <c r="H13" s="19">
        <v>33765.800000000003</v>
      </c>
      <c r="I13" s="19">
        <v>33774.35</v>
      </c>
      <c r="J13" s="19">
        <v>29168.25</v>
      </c>
      <c r="K13" s="13">
        <v>28973.79</v>
      </c>
      <c r="L13" s="19">
        <v>29656.82</v>
      </c>
      <c r="M13" s="19">
        <v>32121.53</v>
      </c>
      <c r="N13" s="20">
        <v>32386.34</v>
      </c>
      <c r="O13" s="15">
        <f>SUM(Tabla2[[#This Row],[Gener]:[Desembre]])</f>
        <v>368765.77000000008</v>
      </c>
    </row>
    <row r="14" spans="1:15" x14ac:dyDescent="0.25">
      <c r="A14" s="16">
        <v>11</v>
      </c>
      <c r="B14" s="17" t="s">
        <v>26</v>
      </c>
      <c r="C14" s="18">
        <f>8480+51651.08+66800</f>
        <v>126931.08</v>
      </c>
      <c r="D14" s="19">
        <v>104653.59</v>
      </c>
      <c r="E14" s="19">
        <v>100978.01000000001</v>
      </c>
      <c r="F14" s="19">
        <f>9823.62+4865+88780</f>
        <v>103468.62</v>
      </c>
      <c r="G14" s="19">
        <v>103503.27</v>
      </c>
      <c r="H14" s="19">
        <v>107964.79000000001</v>
      </c>
      <c r="I14" s="19">
        <v>108049.06</v>
      </c>
      <c r="J14" s="19">
        <v>94842.68</v>
      </c>
      <c r="K14" s="13">
        <v>109940.81</v>
      </c>
      <c r="L14" s="19">
        <v>115684.48</v>
      </c>
      <c r="M14" s="19">
        <v>104389.16</v>
      </c>
      <c r="N14" s="20">
        <v>137553.34</v>
      </c>
      <c r="O14" s="21">
        <f>SUM(Tabla2[[#This Row],[Gener]:[Desembre]])</f>
        <v>1317958.8899999999</v>
      </c>
    </row>
    <row r="15" spans="1:15" x14ac:dyDescent="0.25">
      <c r="A15" s="16">
        <v>12</v>
      </c>
      <c r="B15" s="17" t="s">
        <v>27</v>
      </c>
      <c r="C15" s="18">
        <f>249.12+3941.26</f>
        <v>4190.38</v>
      </c>
      <c r="D15" s="19">
        <v>5657</v>
      </c>
      <c r="E15" s="19">
        <v>4740.38</v>
      </c>
      <c r="F15" s="19">
        <f>240+3888.05</f>
        <v>4128.05</v>
      </c>
      <c r="G15" s="19">
        <v>2630.34</v>
      </c>
      <c r="H15" s="19">
        <v>4996.68</v>
      </c>
      <c r="I15" s="19">
        <v>5424.02</v>
      </c>
      <c r="J15" s="19">
        <v>4057.37</v>
      </c>
      <c r="K15" s="13">
        <v>4262.74</v>
      </c>
      <c r="L15" s="19">
        <v>2667.67</v>
      </c>
      <c r="M15" s="19">
        <v>3060.72</v>
      </c>
      <c r="N15" s="20">
        <v>3990.62</v>
      </c>
      <c r="O15" s="21">
        <f>SUM(Tabla2[[#This Row],[Gener]:[Desembre]])</f>
        <v>49805.97</v>
      </c>
    </row>
    <row r="16" spans="1:15" x14ac:dyDescent="0.25">
      <c r="A16" s="16">
        <v>13</v>
      </c>
      <c r="B16" s="17" t="s">
        <v>28</v>
      </c>
      <c r="C16" s="18">
        <f>860+20425.55</f>
        <v>21285.55</v>
      </c>
      <c r="D16" s="19">
        <v>16802.28</v>
      </c>
      <c r="E16" s="19">
        <v>24965</v>
      </c>
      <c r="F16" s="19">
        <f>905+19800</f>
        <v>20705</v>
      </c>
      <c r="G16" s="19">
        <v>20620</v>
      </c>
      <c r="H16" s="19">
        <v>24720</v>
      </c>
      <c r="I16" s="19">
        <v>22180</v>
      </c>
      <c r="J16" s="19">
        <v>18220</v>
      </c>
      <c r="K16" s="13">
        <v>23560</v>
      </c>
      <c r="L16" s="19">
        <v>22720</v>
      </c>
      <c r="M16" s="19">
        <v>21060</v>
      </c>
      <c r="N16" s="20">
        <v>29180</v>
      </c>
      <c r="O16" s="21">
        <f>SUM(Tabla2[[#This Row],[Gener]:[Desembre]])</f>
        <v>266017.83</v>
      </c>
    </row>
    <row r="17" spans="1:15" x14ac:dyDescent="0.25">
      <c r="A17" s="16">
        <v>14</v>
      </c>
      <c r="B17" s="17" t="s">
        <v>29</v>
      </c>
      <c r="C17" s="18"/>
      <c r="D17" s="19">
        <v>0</v>
      </c>
      <c r="E17" s="19"/>
      <c r="F17" s="19"/>
      <c r="G17" s="19"/>
      <c r="H17" s="19"/>
      <c r="I17" s="19"/>
      <c r="J17" s="19"/>
      <c r="K17" s="13"/>
      <c r="L17" s="19">
        <v>0</v>
      </c>
      <c r="M17" s="19">
        <v>0</v>
      </c>
      <c r="N17" s="20"/>
      <c r="O17" s="21">
        <f>SUM(Tabla2[[#This Row],[Gener]:[Desembre]])</f>
        <v>0</v>
      </c>
    </row>
    <row r="18" spans="1:15" x14ac:dyDescent="0.25">
      <c r="A18" s="16">
        <v>15</v>
      </c>
      <c r="B18" s="17" t="s">
        <v>30</v>
      </c>
      <c r="C18" s="18">
        <f>426.96+12949.49</f>
        <v>13376.449999999999</v>
      </c>
      <c r="D18" s="19">
        <v>10936.93</v>
      </c>
      <c r="E18" s="19">
        <v>10694.36</v>
      </c>
      <c r="F18" s="19">
        <f>95+14865.79</f>
        <v>14960.79</v>
      </c>
      <c r="G18" s="19">
        <v>13200.97</v>
      </c>
      <c r="H18" s="19">
        <v>13256.52</v>
      </c>
      <c r="I18" s="19">
        <v>11907.58</v>
      </c>
      <c r="J18" s="19">
        <v>9797.7000000000007</v>
      </c>
      <c r="K18" s="13">
        <v>11430.91</v>
      </c>
      <c r="L18" s="19">
        <v>13656.31</v>
      </c>
      <c r="M18" s="19">
        <v>11604.51</v>
      </c>
      <c r="N18" s="20">
        <v>16584.939999999999</v>
      </c>
      <c r="O18" s="21">
        <f>SUM(Tabla2[[#This Row],[Gener]:[Desembre]])</f>
        <v>151407.97</v>
      </c>
    </row>
    <row r="19" spans="1:15" x14ac:dyDescent="0.25">
      <c r="A19" s="16">
        <v>16</v>
      </c>
      <c r="B19" s="17" t="s">
        <v>31</v>
      </c>
      <c r="C19" s="18"/>
      <c r="D19" s="19">
        <v>0</v>
      </c>
      <c r="E19" s="19"/>
      <c r="F19" s="19"/>
      <c r="G19" s="19"/>
      <c r="H19" s="19"/>
      <c r="I19" s="19"/>
      <c r="J19" s="19"/>
      <c r="K19" s="13"/>
      <c r="L19" s="19">
        <v>0</v>
      </c>
      <c r="M19" s="19">
        <v>0</v>
      </c>
      <c r="N19" s="20"/>
      <c r="O19" s="21">
        <f>SUM(Tabla2[[#This Row],[Gener]:[Desembre]])</f>
        <v>0</v>
      </c>
    </row>
    <row r="20" spans="1:15" x14ac:dyDescent="0.25">
      <c r="A20" s="16">
        <v>17</v>
      </c>
      <c r="B20" s="17" t="s">
        <v>32</v>
      </c>
      <c r="C20" s="18">
        <f>581.3+12542.5+520+298.33+1861.67</f>
        <v>15803.8</v>
      </c>
      <c r="D20" s="19">
        <v>14247.41</v>
      </c>
      <c r="E20" s="19">
        <v>14848.07</v>
      </c>
      <c r="F20" s="19">
        <f>183.5+24+1276+13335.85</f>
        <v>14819.35</v>
      </c>
      <c r="G20" s="19">
        <v>15667.05</v>
      </c>
      <c r="H20" s="19">
        <f>14888.51+600</f>
        <v>15488.51</v>
      </c>
      <c r="I20" s="19">
        <f>12971.1+841.54</f>
        <v>13812.64</v>
      </c>
      <c r="J20" s="19">
        <v>11793.04</v>
      </c>
      <c r="K20" s="13">
        <v>14673.84</v>
      </c>
      <c r="L20" s="19">
        <v>15118.77</v>
      </c>
      <c r="M20" s="19">
        <v>13658.59</v>
      </c>
      <c r="N20" s="20">
        <v>15321.07</v>
      </c>
      <c r="O20" s="21">
        <f>SUM(Tabla2[[#This Row],[Gener]:[Desembre]])</f>
        <v>175252.13999999998</v>
      </c>
    </row>
    <row r="21" spans="1:15" x14ac:dyDescent="0.25">
      <c r="A21" s="16">
        <v>18</v>
      </c>
      <c r="B21" s="17" t="s">
        <v>33</v>
      </c>
      <c r="C21" s="18">
        <f>6185+12378.58+83417.68</f>
        <v>101981.26</v>
      </c>
      <c r="D21" s="19">
        <v>77769.919999999998</v>
      </c>
      <c r="E21" s="19">
        <v>83715.040000000008</v>
      </c>
      <c r="F21" s="19">
        <f>1605+67560+12140.55</f>
        <v>81305.55</v>
      </c>
      <c r="G21" s="19">
        <v>79278.67</v>
      </c>
      <c r="H21" s="19">
        <v>88279.18</v>
      </c>
      <c r="I21" s="19">
        <v>87858.66</v>
      </c>
      <c r="J21" s="19">
        <v>79374.67</v>
      </c>
      <c r="K21" s="13">
        <v>83048.33</v>
      </c>
      <c r="L21" s="19">
        <v>80577.540000000008</v>
      </c>
      <c r="M21" s="19">
        <v>88881.8</v>
      </c>
      <c r="N21" s="20">
        <v>101283.11</v>
      </c>
      <c r="O21" s="21">
        <f>SUM(Tabla2[[#This Row],[Gener]:[Desembre]])</f>
        <v>1033353.73</v>
      </c>
    </row>
    <row r="22" spans="1:15" x14ac:dyDescent="0.25">
      <c r="A22" s="16">
        <v>19</v>
      </c>
      <c r="B22" s="17" t="s">
        <v>34</v>
      </c>
      <c r="C22" s="18">
        <f>1075+16627+1058.07</f>
        <v>18760.07</v>
      </c>
      <c r="D22" s="19">
        <v>13779.94</v>
      </c>
      <c r="E22" s="19">
        <v>15035</v>
      </c>
      <c r="F22" s="19">
        <f>250+13800+1197.16</f>
        <v>15247.16</v>
      </c>
      <c r="G22" s="19">
        <v>14303.74</v>
      </c>
      <c r="H22" s="19">
        <v>16496.7</v>
      </c>
      <c r="I22" s="19">
        <v>14083.62</v>
      </c>
      <c r="J22" s="19">
        <v>10885.77</v>
      </c>
      <c r="K22" s="13">
        <v>12884.54</v>
      </c>
      <c r="L22" s="19">
        <v>13274.43</v>
      </c>
      <c r="M22" s="19">
        <v>12935.48</v>
      </c>
      <c r="N22" s="20">
        <v>17488.189999999999</v>
      </c>
      <c r="O22" s="21">
        <f>SUM(Tabla2[[#This Row],[Gener]:[Desembre]])</f>
        <v>175174.64</v>
      </c>
    </row>
    <row r="23" spans="1:15" x14ac:dyDescent="0.25">
      <c r="A23" s="16">
        <v>20</v>
      </c>
      <c r="B23" s="17" t="s">
        <v>35</v>
      </c>
      <c r="C23" s="18"/>
      <c r="D23" s="19">
        <v>0</v>
      </c>
      <c r="E23" s="19"/>
      <c r="F23" s="19"/>
      <c r="G23" s="19"/>
      <c r="H23" s="19"/>
      <c r="I23" s="19"/>
      <c r="J23" s="19"/>
      <c r="K23" s="13"/>
      <c r="L23" s="19">
        <v>0</v>
      </c>
      <c r="M23" s="19">
        <v>0</v>
      </c>
      <c r="N23" s="20"/>
      <c r="O23" s="21">
        <f>SUM(Tabla2[[#This Row],[Gener]:[Desembre]])</f>
        <v>0</v>
      </c>
    </row>
    <row r="24" spans="1:15" x14ac:dyDescent="0.25">
      <c r="A24" s="16">
        <v>21</v>
      </c>
      <c r="B24" s="17" t="s">
        <v>36</v>
      </c>
      <c r="C24" s="18">
        <v>714.8</v>
      </c>
      <c r="D24" s="19">
        <v>777.96</v>
      </c>
      <c r="E24" s="19">
        <v>866.08</v>
      </c>
      <c r="F24" s="19">
        <v>1075.8900000000001</v>
      </c>
      <c r="G24" s="19">
        <v>829.78</v>
      </c>
      <c r="H24" s="19">
        <v>978.07</v>
      </c>
      <c r="I24" s="19">
        <v>2111.64</v>
      </c>
      <c r="J24" s="19">
        <v>1318.7</v>
      </c>
      <c r="K24" s="13">
        <v>1464.69</v>
      </c>
      <c r="L24" s="19">
        <v>926.03</v>
      </c>
      <c r="M24" s="19">
        <v>597.82000000000005</v>
      </c>
      <c r="N24" s="20">
        <v>931.67</v>
      </c>
      <c r="O24" s="21">
        <f>SUM(Tabla2[[#This Row],[Gener]:[Desembre]])</f>
        <v>12593.130000000001</v>
      </c>
    </row>
    <row r="25" spans="1:15" x14ac:dyDescent="0.25">
      <c r="A25" s="16">
        <v>22</v>
      </c>
      <c r="B25" s="17" t="s">
        <v>37</v>
      </c>
      <c r="C25" s="18">
        <f>916.35+28169.45+440</f>
        <v>29525.8</v>
      </c>
      <c r="D25" s="19">
        <v>19368.219999999998</v>
      </c>
      <c r="E25" s="19">
        <v>23638.639999999999</v>
      </c>
      <c r="F25" s="19">
        <f>830+24636.09</f>
        <v>25466.09</v>
      </c>
      <c r="G25" s="19">
        <v>25770.5</v>
      </c>
      <c r="H25" s="19">
        <v>29452.22</v>
      </c>
      <c r="I25" s="19">
        <v>24774.079999999998</v>
      </c>
      <c r="J25" s="19">
        <v>21796.959999999999</v>
      </c>
      <c r="K25" s="13">
        <v>21649.1</v>
      </c>
      <c r="L25" s="19">
        <v>23933.11</v>
      </c>
      <c r="M25" s="19">
        <v>26806.67</v>
      </c>
      <c r="N25" s="20">
        <v>30141.23</v>
      </c>
      <c r="O25" s="21">
        <f>SUM(Tabla2[[#This Row],[Gener]:[Desembre]])</f>
        <v>302322.61999999994</v>
      </c>
    </row>
    <row r="26" spans="1:15" x14ac:dyDescent="0.25">
      <c r="A26" s="16">
        <v>23</v>
      </c>
      <c r="B26" s="17" t="s">
        <v>38</v>
      </c>
      <c r="C26" s="18">
        <f>600+13420.96</f>
        <v>14020.96</v>
      </c>
      <c r="D26" s="19">
        <v>10964.449999999999</v>
      </c>
      <c r="E26" s="19">
        <v>16399.05</v>
      </c>
      <c r="F26" s="19">
        <f>500+16336.71</f>
        <v>16836.71</v>
      </c>
      <c r="G26" s="19">
        <v>14433.04</v>
      </c>
      <c r="H26" s="19">
        <v>18094.010000000002</v>
      </c>
      <c r="I26" s="19">
        <v>16835.260000000002</v>
      </c>
      <c r="J26" s="19">
        <v>12130.77</v>
      </c>
      <c r="K26" s="13">
        <v>16061.4</v>
      </c>
      <c r="L26" s="19">
        <v>13679.550000000001</v>
      </c>
      <c r="M26" s="19">
        <v>12453.77</v>
      </c>
      <c r="N26" s="20">
        <v>19723.61</v>
      </c>
      <c r="O26" s="21">
        <f>SUM(Tabla2[[#This Row],[Gener]:[Desembre]])</f>
        <v>181632.58000000002</v>
      </c>
    </row>
    <row r="27" spans="1:15" x14ac:dyDescent="0.25">
      <c r="A27" s="16">
        <v>24</v>
      </c>
      <c r="B27" s="17" t="s">
        <v>39</v>
      </c>
      <c r="C27" s="24">
        <f>546.8</f>
        <v>546.79999999999995</v>
      </c>
      <c r="D27" s="25">
        <v>460.12</v>
      </c>
      <c r="E27" s="25">
        <v>478.33</v>
      </c>
      <c r="F27" s="25">
        <v>481.1</v>
      </c>
      <c r="G27" s="25">
        <v>308.86</v>
      </c>
      <c r="H27" s="25">
        <v>464.62</v>
      </c>
      <c r="I27" s="26">
        <v>599.88</v>
      </c>
      <c r="J27" s="25">
        <v>558.09</v>
      </c>
      <c r="K27" s="13">
        <v>445.67</v>
      </c>
      <c r="L27" s="19">
        <v>470.24</v>
      </c>
      <c r="M27" s="19">
        <v>439.71</v>
      </c>
      <c r="N27" s="20">
        <v>447.57</v>
      </c>
      <c r="O27" s="21">
        <f>SUM(Tabla2[[#This Row],[Gener]:[Desembre]])</f>
        <v>5700.99</v>
      </c>
    </row>
    <row r="28" spans="1:15" x14ac:dyDescent="0.25">
      <c r="A28" s="16">
        <v>25</v>
      </c>
      <c r="B28" s="17" t="s">
        <v>40</v>
      </c>
      <c r="C28" s="18">
        <f>155+39858.7</f>
        <v>40013.699999999997</v>
      </c>
      <c r="D28" s="19">
        <v>31163.77</v>
      </c>
      <c r="E28" s="19">
        <v>31249.82</v>
      </c>
      <c r="F28" s="19">
        <f>905+36221.86</f>
        <v>37126.86</v>
      </c>
      <c r="G28" s="19">
        <v>31571.67</v>
      </c>
      <c r="H28" s="19">
        <v>40977.089999999997</v>
      </c>
      <c r="I28" s="19">
        <v>36065.019999999997</v>
      </c>
      <c r="J28" s="19">
        <v>29503.88</v>
      </c>
      <c r="K28" s="13">
        <v>38218.17</v>
      </c>
      <c r="L28" s="19">
        <v>36118.980000000003</v>
      </c>
      <c r="M28" s="19">
        <v>33642.04</v>
      </c>
      <c r="N28" s="20">
        <v>42842.32</v>
      </c>
      <c r="O28" s="21">
        <f>SUM(Tabla2[[#This Row],[Gener]:[Desembre]])</f>
        <v>428493.31999999995</v>
      </c>
    </row>
    <row r="29" spans="1:15" x14ac:dyDescent="0.25">
      <c r="A29" s="16">
        <v>26</v>
      </c>
      <c r="B29" s="17" t="s">
        <v>41</v>
      </c>
      <c r="C29" s="18"/>
      <c r="D29" s="19">
        <v>0</v>
      </c>
      <c r="E29" s="19"/>
      <c r="F29" s="19"/>
      <c r="G29" s="19"/>
      <c r="H29" s="19"/>
      <c r="I29" s="19"/>
      <c r="J29" s="19"/>
      <c r="K29" s="13"/>
      <c r="L29" s="19">
        <v>0</v>
      </c>
      <c r="M29" s="19">
        <v>0</v>
      </c>
      <c r="N29" s="20"/>
      <c r="O29" s="21">
        <f>SUM(Tabla2[[#This Row],[Gener]:[Desembre]])</f>
        <v>0</v>
      </c>
    </row>
    <row r="30" spans="1:15" x14ac:dyDescent="0.25">
      <c r="A30" s="16">
        <v>27</v>
      </c>
      <c r="B30" s="17" t="s">
        <v>42</v>
      </c>
      <c r="C30" s="24"/>
      <c r="D30" s="25">
        <v>0</v>
      </c>
      <c r="E30" s="25"/>
      <c r="F30" s="25"/>
      <c r="G30" s="19"/>
      <c r="H30" s="19"/>
      <c r="I30" s="19"/>
      <c r="J30" s="19"/>
      <c r="K30" s="13"/>
      <c r="L30" s="19">
        <v>0</v>
      </c>
      <c r="M30" s="19">
        <v>0</v>
      </c>
      <c r="N30" s="20"/>
      <c r="O30" s="21">
        <f>SUM(Tabla2[[#This Row],[Gener]:[Desembre]])</f>
        <v>0</v>
      </c>
    </row>
    <row r="31" spans="1:15" x14ac:dyDescent="0.25">
      <c r="A31" s="16">
        <v>28</v>
      </c>
      <c r="B31" s="17" t="s">
        <v>43</v>
      </c>
      <c r="C31" s="18">
        <f>515+12628.94</f>
        <v>13143.94</v>
      </c>
      <c r="D31" s="19">
        <v>12085.34</v>
      </c>
      <c r="E31" s="19">
        <v>15208.25</v>
      </c>
      <c r="F31" s="19">
        <f>268+13895.54</f>
        <v>14163.54</v>
      </c>
      <c r="G31" s="19">
        <v>15681.69</v>
      </c>
      <c r="H31" s="19">
        <v>16539.650000000001</v>
      </c>
      <c r="I31" s="19">
        <v>14288.539999999999</v>
      </c>
      <c r="J31" s="19">
        <v>13441.35</v>
      </c>
      <c r="K31" s="13">
        <v>13227.15</v>
      </c>
      <c r="L31" s="19">
        <v>14497.71</v>
      </c>
      <c r="M31" s="19">
        <v>12058.85</v>
      </c>
      <c r="N31" s="20">
        <v>15247.49</v>
      </c>
      <c r="O31" s="21">
        <f>SUM(Tabla2[[#This Row],[Gener]:[Desembre]])</f>
        <v>169583.5</v>
      </c>
    </row>
    <row r="32" spans="1:15" x14ac:dyDescent="0.25">
      <c r="A32" s="16">
        <v>29</v>
      </c>
      <c r="B32" s="17" t="s">
        <v>44</v>
      </c>
      <c r="C32" s="18">
        <v>144.13</v>
      </c>
      <c r="D32" s="19">
        <v>138.94999999999999</v>
      </c>
      <c r="E32" s="19">
        <v>145.66999999999999</v>
      </c>
      <c r="F32" s="19">
        <v>194.47</v>
      </c>
      <c r="G32" s="19">
        <v>229.86</v>
      </c>
      <c r="H32" s="19">
        <v>243.94</v>
      </c>
      <c r="I32" s="19">
        <v>397.53</v>
      </c>
      <c r="J32" s="19">
        <v>339.23</v>
      </c>
      <c r="K32" s="13">
        <v>372.9</v>
      </c>
      <c r="L32" s="19">
        <v>252.34</v>
      </c>
      <c r="M32" s="19">
        <v>154.30000000000001</v>
      </c>
      <c r="N32" s="20">
        <v>175.54</v>
      </c>
      <c r="O32" s="21">
        <f>SUM(Tabla2[[#This Row],[Gener]:[Desembre]])</f>
        <v>2788.86</v>
      </c>
    </row>
    <row r="33" spans="1:15" x14ac:dyDescent="0.25">
      <c r="A33" s="16">
        <v>30</v>
      </c>
      <c r="B33" s="17" t="s">
        <v>45</v>
      </c>
      <c r="C33" s="18"/>
      <c r="D33" s="19">
        <v>0</v>
      </c>
      <c r="E33" s="19"/>
      <c r="F33" s="19"/>
      <c r="G33" s="19"/>
      <c r="H33" s="19"/>
      <c r="I33" s="19"/>
      <c r="J33" s="19"/>
      <c r="K33" s="13"/>
      <c r="L33" s="19">
        <v>0</v>
      </c>
      <c r="M33" s="19">
        <v>0</v>
      </c>
      <c r="N33" s="20"/>
      <c r="O33" s="21">
        <f>SUM(Tabla2[[#This Row],[Gener]:[Desembre]])</f>
        <v>0</v>
      </c>
    </row>
    <row r="34" spans="1:15" x14ac:dyDescent="0.25">
      <c r="A34" s="16">
        <v>31</v>
      </c>
      <c r="B34" s="17" t="s">
        <v>46</v>
      </c>
      <c r="C34" s="18">
        <f>80+2522.12</f>
        <v>2602.12</v>
      </c>
      <c r="D34" s="19">
        <v>2423</v>
      </c>
      <c r="E34" s="19">
        <v>2055.38</v>
      </c>
      <c r="F34" s="19">
        <f>46+3088.72</f>
        <v>3134.72</v>
      </c>
      <c r="G34" s="19">
        <v>2010.6899999999998</v>
      </c>
      <c r="H34" s="19">
        <v>1908.41</v>
      </c>
      <c r="I34" s="19">
        <v>1753.86</v>
      </c>
      <c r="J34" s="19">
        <v>1631.79</v>
      </c>
      <c r="K34" s="13">
        <v>1046.9000000000001</v>
      </c>
      <c r="L34" s="19">
        <v>1571.25</v>
      </c>
      <c r="M34" s="19">
        <v>3248.04</v>
      </c>
      <c r="N34" s="20">
        <v>2225.52</v>
      </c>
      <c r="O34" s="21">
        <f>SUM(Tabla2[[#This Row],[Gener]:[Desembre]])</f>
        <v>25611.680000000004</v>
      </c>
    </row>
    <row r="35" spans="1:15" x14ac:dyDescent="0.25">
      <c r="A35" s="16">
        <v>32</v>
      </c>
      <c r="B35" s="17" t="s">
        <v>47</v>
      </c>
      <c r="C35" s="18">
        <f>976.47+20922.23</f>
        <v>21898.7</v>
      </c>
      <c r="D35" s="19">
        <v>15690.97</v>
      </c>
      <c r="E35" s="19">
        <v>19077.86</v>
      </c>
      <c r="F35" s="19">
        <f>400+21774.73</f>
        <v>22174.73</v>
      </c>
      <c r="G35" s="19">
        <v>19789.23</v>
      </c>
      <c r="H35" s="19">
        <v>22765.05</v>
      </c>
      <c r="I35" s="19">
        <v>22100.74</v>
      </c>
      <c r="J35" s="19">
        <v>16406.98</v>
      </c>
      <c r="K35" s="13">
        <v>21607.599999999999</v>
      </c>
      <c r="L35" s="19">
        <v>19531.849999999999</v>
      </c>
      <c r="M35" s="19">
        <v>16012.39</v>
      </c>
      <c r="N35" s="20">
        <v>22206.74</v>
      </c>
      <c r="O35" s="21">
        <f>SUM(Tabla2[[#This Row],[Gener]:[Desembre]])</f>
        <v>239262.84000000003</v>
      </c>
    </row>
    <row r="36" spans="1:15" x14ac:dyDescent="0.25">
      <c r="A36" s="16">
        <v>33</v>
      </c>
      <c r="B36" s="17" t="s">
        <v>48</v>
      </c>
      <c r="C36" s="18"/>
      <c r="D36" s="19">
        <v>0</v>
      </c>
      <c r="E36" s="19"/>
      <c r="F36" s="19"/>
      <c r="G36" s="19"/>
      <c r="H36" s="19"/>
      <c r="I36" s="19"/>
      <c r="J36" s="19"/>
      <c r="K36" s="13"/>
      <c r="L36" s="19">
        <v>0</v>
      </c>
      <c r="M36" s="19">
        <v>0</v>
      </c>
      <c r="N36" s="20"/>
      <c r="O36" s="21">
        <f>SUM(Tabla2[[#This Row],[Gener]:[Desembre]])</f>
        <v>0</v>
      </c>
    </row>
    <row r="37" spans="1:15" x14ac:dyDescent="0.25">
      <c r="A37" s="16">
        <v>34</v>
      </c>
      <c r="B37" s="17" t="s">
        <v>49</v>
      </c>
      <c r="C37" s="18">
        <f>520+6332.86</f>
        <v>6852.86</v>
      </c>
      <c r="D37" s="19">
        <v>7640.94</v>
      </c>
      <c r="E37" s="19">
        <v>6434.21</v>
      </c>
      <c r="F37" s="19">
        <f>145+5750.17</f>
        <v>5895.17</v>
      </c>
      <c r="G37" s="19">
        <v>4305.7699999999995</v>
      </c>
      <c r="H37" s="19">
        <v>5994.54</v>
      </c>
      <c r="I37" s="19">
        <v>9315</v>
      </c>
      <c r="J37" s="19">
        <v>5037.6899999999996</v>
      </c>
      <c r="K37" s="13">
        <v>6704.06</v>
      </c>
      <c r="L37" s="19">
        <v>6743.1</v>
      </c>
      <c r="M37" s="19">
        <v>4422.4799999999996</v>
      </c>
      <c r="N37" s="20">
        <v>6061.83</v>
      </c>
      <c r="O37" s="21">
        <f>SUM(Tabla2[[#This Row],[Gener]:[Desembre]])</f>
        <v>75407.649999999994</v>
      </c>
    </row>
    <row r="38" spans="1:15" x14ac:dyDescent="0.25">
      <c r="A38" s="16">
        <v>35</v>
      </c>
      <c r="B38" s="17" t="s">
        <v>50</v>
      </c>
      <c r="C38" s="18">
        <f>140+6267.8</f>
        <v>6407.8</v>
      </c>
      <c r="D38" s="19">
        <v>6125.5099999999993</v>
      </c>
      <c r="E38" s="19">
        <v>6340.76</v>
      </c>
      <c r="F38" s="19">
        <f>130+7760.74</f>
        <v>7890.74</v>
      </c>
      <c r="G38" s="19">
        <v>7781.57</v>
      </c>
      <c r="H38" s="19">
        <v>7124.0899999999992</v>
      </c>
      <c r="I38" s="19">
        <v>8975.82</v>
      </c>
      <c r="J38" s="19">
        <v>6472.81</v>
      </c>
      <c r="K38" s="13">
        <v>7769.31</v>
      </c>
      <c r="L38" s="19">
        <v>7327.46</v>
      </c>
      <c r="M38" s="19">
        <v>6118.6</v>
      </c>
      <c r="N38" s="20">
        <v>8999.7100000000009</v>
      </c>
      <c r="O38" s="21">
        <f>SUM(Tabla2[[#This Row],[Gener]:[Desembre]])</f>
        <v>87334.180000000008</v>
      </c>
    </row>
    <row r="39" spans="1:15" x14ac:dyDescent="0.25">
      <c r="A39" s="16">
        <v>36</v>
      </c>
      <c r="B39" s="17" t="s">
        <v>51</v>
      </c>
      <c r="C39" s="18">
        <f>119.41+1812.29</f>
        <v>1931.7</v>
      </c>
      <c r="D39" s="19">
        <v>1490.82</v>
      </c>
      <c r="E39" s="19">
        <v>1576.4299999999998</v>
      </c>
      <c r="F39" s="19">
        <f>50+1749.02</f>
        <v>1799.02</v>
      </c>
      <c r="G39" s="19">
        <v>1707.74</v>
      </c>
      <c r="H39" s="19">
        <v>3061.36</v>
      </c>
      <c r="I39" s="19">
        <v>1506.35</v>
      </c>
      <c r="J39" s="19">
        <v>1955.11</v>
      </c>
      <c r="K39" s="13">
        <v>2373.33</v>
      </c>
      <c r="L39" s="19">
        <v>2022.33</v>
      </c>
      <c r="M39" s="19">
        <v>1823.51</v>
      </c>
      <c r="N39" s="20">
        <v>2082.9700000000003</v>
      </c>
      <c r="O39" s="21">
        <f>SUM(Tabla2[[#This Row],[Gener]:[Desembre]])</f>
        <v>23330.670000000002</v>
      </c>
    </row>
    <row r="40" spans="1:15" x14ac:dyDescent="0.25">
      <c r="A40" s="16">
        <v>37</v>
      </c>
      <c r="B40" s="17" t="s">
        <v>52</v>
      </c>
      <c r="C40" s="18">
        <f>890+11396.02</f>
        <v>12286.02</v>
      </c>
      <c r="D40" s="19">
        <v>10788.87</v>
      </c>
      <c r="E40" s="19">
        <v>12848.41</v>
      </c>
      <c r="F40" s="19">
        <f>317.5+10199.04</f>
        <v>10516.54</v>
      </c>
      <c r="G40" s="19">
        <v>10798.1</v>
      </c>
      <c r="H40" s="19">
        <v>13602.9</v>
      </c>
      <c r="I40" s="19">
        <v>10265.25</v>
      </c>
      <c r="J40" s="19">
        <v>10401.290000000001</v>
      </c>
      <c r="K40" s="13">
        <v>13081.02</v>
      </c>
      <c r="L40" s="19">
        <v>11753.94</v>
      </c>
      <c r="M40" s="19">
        <v>10210.969999999999</v>
      </c>
      <c r="N40" s="20">
        <v>14870.3</v>
      </c>
      <c r="O40" s="21">
        <f>SUM(Tabla2[[#This Row],[Gener]:[Desembre]])</f>
        <v>141423.61000000002</v>
      </c>
    </row>
    <row r="41" spans="1:15" x14ac:dyDescent="0.25">
      <c r="A41" s="16">
        <v>38</v>
      </c>
      <c r="B41" s="17" t="s">
        <v>53</v>
      </c>
      <c r="C41" s="18">
        <v>2531.92</v>
      </c>
      <c r="D41" s="19">
        <v>1795.74</v>
      </c>
      <c r="E41" s="19">
        <v>1769.05</v>
      </c>
      <c r="F41" s="19">
        <v>1833.07</v>
      </c>
      <c r="G41" s="19">
        <v>1669.83</v>
      </c>
      <c r="H41" s="19">
        <v>2694.16</v>
      </c>
      <c r="I41" s="19">
        <v>2311.9699999999998</v>
      </c>
      <c r="J41" s="19">
        <v>2472.17</v>
      </c>
      <c r="K41" s="13">
        <v>2601.15</v>
      </c>
      <c r="L41" s="19">
        <v>1891.69</v>
      </c>
      <c r="M41" s="19">
        <v>1750.32</v>
      </c>
      <c r="N41" s="20">
        <v>2625.5</v>
      </c>
      <c r="O41" s="21">
        <f>SUM(Tabla2[[#This Row],[Gener]:[Desembre]])</f>
        <v>25946.57</v>
      </c>
    </row>
    <row r="42" spans="1:15" x14ac:dyDescent="0.25">
      <c r="A42" s="16">
        <v>39</v>
      </c>
      <c r="B42" s="17" t="s">
        <v>54</v>
      </c>
      <c r="C42" s="24">
        <f>1222.19</f>
        <v>1222.19</v>
      </c>
      <c r="D42" s="25">
        <v>1055.03</v>
      </c>
      <c r="E42" s="25">
        <v>1193.3599999999999</v>
      </c>
      <c r="F42" s="25">
        <v>1315.81</v>
      </c>
      <c r="G42" s="25">
        <v>1117.81</v>
      </c>
      <c r="H42" s="25">
        <v>2199.1799999999998</v>
      </c>
      <c r="I42" s="26">
        <v>1823.71</v>
      </c>
      <c r="J42" s="25">
        <v>1170.73</v>
      </c>
      <c r="K42" s="13">
        <v>1958.27</v>
      </c>
      <c r="L42" s="19">
        <v>1053.7</v>
      </c>
      <c r="M42" s="19">
        <v>1910.99</v>
      </c>
      <c r="N42" s="20">
        <v>1732.02</v>
      </c>
      <c r="O42" s="21">
        <f>SUM(Tabla2[[#This Row],[Gener]:[Desembre]])</f>
        <v>17752.8</v>
      </c>
    </row>
    <row r="43" spans="1:15" x14ac:dyDescent="0.25">
      <c r="A43" s="16">
        <v>40</v>
      </c>
      <c r="B43" s="17" t="s">
        <v>55</v>
      </c>
      <c r="C43" s="18">
        <v>360.44</v>
      </c>
      <c r="D43" s="19">
        <v>251.47</v>
      </c>
      <c r="E43" s="19">
        <v>353.79</v>
      </c>
      <c r="F43" s="19">
        <v>287.79000000000002</v>
      </c>
      <c r="G43" s="19">
        <v>172.31</v>
      </c>
      <c r="H43" s="19"/>
      <c r="I43" s="19">
        <v>328.17</v>
      </c>
      <c r="J43" s="19">
        <v>391.78</v>
      </c>
      <c r="K43" s="13">
        <v>292.63</v>
      </c>
      <c r="L43" s="19">
        <v>250</v>
      </c>
      <c r="M43" s="19">
        <v>281.11</v>
      </c>
      <c r="N43" s="20">
        <v>401.9</v>
      </c>
      <c r="O43" s="21">
        <f>SUM(Tabla2[[#This Row],[Gener]:[Desembre]])</f>
        <v>3371.3900000000003</v>
      </c>
    </row>
    <row r="44" spans="1:15" ht="15.75" thickBot="1" x14ac:dyDescent="0.3">
      <c r="A44" s="27">
        <v>41</v>
      </c>
      <c r="B44" s="22" t="s">
        <v>56</v>
      </c>
      <c r="C44" s="12"/>
      <c r="D44" s="13">
        <v>0</v>
      </c>
      <c r="E44" s="13"/>
      <c r="F44" s="28"/>
      <c r="G44" s="28"/>
      <c r="H44" s="28"/>
      <c r="I44" s="28"/>
      <c r="J44" s="13"/>
      <c r="K44" s="13"/>
      <c r="L44" s="28">
        <v>0</v>
      </c>
      <c r="M44" s="28">
        <v>0</v>
      </c>
      <c r="N44" s="29"/>
      <c r="O44" s="23">
        <f>SUM(Tabla2[[#This Row],[Gener]:[Desembre]])</f>
        <v>0</v>
      </c>
    </row>
    <row r="45" spans="1:15" s="4" customFormat="1" ht="15.75" thickBot="1" x14ac:dyDescent="0.3">
      <c r="A45" s="30"/>
      <c r="B45" s="6" t="s">
        <v>57</v>
      </c>
      <c r="C45" s="7">
        <f t="shared" ref="C45:L45" si="0">SUBTOTAL(109,C5:C44)</f>
        <v>618959.99999999977</v>
      </c>
      <c r="D45" s="8">
        <f t="shared" si="0"/>
        <v>498470.26</v>
      </c>
      <c r="E45" s="8">
        <f t="shared" si="0"/>
        <v>547400.02000000014</v>
      </c>
      <c r="F45" s="8">
        <f t="shared" si="0"/>
        <v>566800</v>
      </c>
      <c r="G45" s="8">
        <f t="shared" si="0"/>
        <v>541640.00999999989</v>
      </c>
      <c r="H45" s="8">
        <f t="shared" si="0"/>
        <v>609488.57000000007</v>
      </c>
      <c r="I45" s="8">
        <f t="shared" si="0"/>
        <v>585970.05000000005</v>
      </c>
      <c r="J45" s="8">
        <f t="shared" si="0"/>
        <v>500221.00999999995</v>
      </c>
      <c r="K45" s="8">
        <f t="shared" si="0"/>
        <v>570779.9600000002</v>
      </c>
      <c r="L45" s="8">
        <f t="shared" si="0"/>
        <v>556520.01999999979</v>
      </c>
      <c r="M45" s="8">
        <f>SUM(M5:M44)</f>
        <v>546339.98999999976</v>
      </c>
      <c r="N45" s="8">
        <f>SUM(N5:N44)</f>
        <v>669765.96999999986</v>
      </c>
      <c r="O45" s="5">
        <f>SUBTOTAL(109,O5:O44)</f>
        <v>6812355.8600000003</v>
      </c>
    </row>
    <row r="46" spans="1:15" ht="15.75" thickBot="1" x14ac:dyDescent="0.3">
      <c r="A46" s="19"/>
      <c r="B46" s="31" t="s">
        <v>58</v>
      </c>
      <c r="C46" s="32">
        <v>462880.01</v>
      </c>
      <c r="D46" s="33">
        <v>369379.99999999994</v>
      </c>
      <c r="E46" s="33">
        <v>408280.00000000012</v>
      </c>
      <c r="F46" s="33">
        <v>451329.96</v>
      </c>
      <c r="G46" s="33">
        <v>478719.99000000017</v>
      </c>
      <c r="H46" s="33">
        <v>468610.00999999995</v>
      </c>
      <c r="I46" s="33">
        <v>546079.96</v>
      </c>
      <c r="J46" s="33">
        <v>473560.00999999995</v>
      </c>
      <c r="K46" s="33">
        <v>511110</v>
      </c>
      <c r="L46" s="33">
        <v>539325.00999999978</v>
      </c>
      <c r="M46" s="33">
        <v>500540.00999999978</v>
      </c>
      <c r="N46" s="34">
        <v>619179.56999999983</v>
      </c>
      <c r="O46" s="35">
        <f>SUM(Tabla2[[#This Row],[Gener]:[Desembre]])</f>
        <v>5828994.5299999993</v>
      </c>
    </row>
    <row r="47" spans="1:15" x14ac:dyDescent="0.25">
      <c r="A47" s="28"/>
      <c r="B47" s="36" t="s">
        <v>59</v>
      </c>
      <c r="C47" s="37">
        <f>(C45/C46)-1</f>
        <v>0.3371931961373742</v>
      </c>
      <c r="D47" s="37">
        <f>(D45/D46)-1</f>
        <v>0.34947820672478236</v>
      </c>
      <c r="E47" s="37">
        <f t="shared" ref="E47:O47" si="1">(E45/E46)-1</f>
        <v>0.34074659547369457</v>
      </c>
      <c r="F47" s="37">
        <f t="shared" si="1"/>
        <v>0.25584395062096021</v>
      </c>
      <c r="G47" s="37">
        <f t="shared" si="1"/>
        <v>0.13143386805301294</v>
      </c>
      <c r="H47" s="37">
        <f t="shared" si="1"/>
        <v>0.3006307099585861</v>
      </c>
      <c r="I47" s="37">
        <f t="shared" si="1"/>
        <v>7.3048075230594645E-2</v>
      </c>
      <c r="J47" s="37">
        <f t="shared" si="1"/>
        <v>5.6299095018601752E-2</v>
      </c>
      <c r="K47" s="37">
        <f t="shared" si="1"/>
        <v>0.11674582770832154</v>
      </c>
      <c r="L47" s="37">
        <f t="shared" si="1"/>
        <v>3.188246360019531E-2</v>
      </c>
      <c r="M47" s="37">
        <f t="shared" si="1"/>
        <v>9.150113694207973E-2</v>
      </c>
      <c r="N47" s="37">
        <f t="shared" si="1"/>
        <v>8.1699078023520721E-2</v>
      </c>
      <c r="O47" s="37">
        <f t="shared" si="1"/>
        <v>0.16870170746240198</v>
      </c>
    </row>
    <row r="48" spans="1:15" x14ac:dyDescent="0.25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50" spans="5:8" x14ac:dyDescent="0.25">
      <c r="E50" s="40"/>
      <c r="H50" s="41"/>
    </row>
  </sheetData>
  <sheetProtection sheet="1" objects="1" scenarios="1"/>
  <pageMargins left="0.19685039370078741" right="0.23622047244094491" top="0.39370078740157483" bottom="0.45" header="0.19685039370078741" footer="0.31496062992125984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50"/>
  <sheetViews>
    <sheetView showZeros="0" zoomScale="90" zoomScaleNormal="90" workbookViewId="0">
      <selection activeCell="H12" sqref="H12"/>
    </sheetView>
  </sheetViews>
  <sheetFormatPr baseColWidth="10" defaultColWidth="11.42578125" defaultRowHeight="15" x14ac:dyDescent="0.25"/>
  <cols>
    <col min="1" max="1" width="5.5703125" style="1" customWidth="1"/>
    <col min="2" max="2" width="26.140625" style="1" bestFit="1" customWidth="1"/>
    <col min="3" max="6" width="11.42578125" style="3"/>
    <col min="7" max="10" width="11.42578125" style="3" customWidth="1"/>
    <col min="11" max="11" width="11.85546875" style="3" customWidth="1"/>
    <col min="12" max="12" width="11.42578125" style="3" customWidth="1"/>
    <col min="13" max="13" width="12.5703125" style="3" customWidth="1"/>
    <col min="14" max="14" width="12.42578125" style="3" customWidth="1"/>
    <col min="15" max="15" width="11.42578125" style="3"/>
    <col min="16" max="16384" width="11.42578125" style="1"/>
  </cols>
  <sheetData>
    <row r="2" spans="1:19" ht="15.75" x14ac:dyDescent="0.25">
      <c r="B2" s="2" t="s">
        <v>0</v>
      </c>
    </row>
    <row r="3" spans="1:19" ht="15.75" thickBot="1" x14ac:dyDescent="0.3">
      <c r="C3" s="4" t="s">
        <v>60</v>
      </c>
    </row>
    <row r="4" spans="1:19" ht="15.75" thickBot="1" x14ac:dyDescent="0.3">
      <c r="A4" s="5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9" t="s">
        <v>15</v>
      </c>
      <c r="O4" s="5" t="s">
        <v>16</v>
      </c>
    </row>
    <row r="5" spans="1:19" x14ac:dyDescent="0.25">
      <c r="A5" s="10">
        <v>1</v>
      </c>
      <c r="B5" s="11" t="s">
        <v>17</v>
      </c>
      <c r="C5" s="12"/>
      <c r="D5" s="13">
        <v>0</v>
      </c>
      <c r="E5" s="13"/>
      <c r="F5" s="13"/>
      <c r="G5" s="13"/>
      <c r="H5" s="13">
        <v>0</v>
      </c>
      <c r="I5" s="13"/>
      <c r="J5" s="13"/>
      <c r="K5" s="13">
        <v>0</v>
      </c>
      <c r="L5" s="13"/>
      <c r="M5" s="13"/>
      <c r="N5" s="14"/>
      <c r="O5" s="42">
        <f>SUM(Tabla25[[#This Row],[Gener]:[Desembre]])</f>
        <v>0</v>
      </c>
    </row>
    <row r="6" spans="1:19" x14ac:dyDescent="0.25">
      <c r="A6" s="16">
        <v>2</v>
      </c>
      <c r="B6" s="17" t="s">
        <v>18</v>
      </c>
      <c r="C6" s="18">
        <v>1920</v>
      </c>
      <c r="D6" s="19">
        <v>2640</v>
      </c>
      <c r="E6" s="19">
        <v>2400</v>
      </c>
      <c r="F6" s="19">
        <v>1520</v>
      </c>
      <c r="G6" s="19">
        <v>2240</v>
      </c>
      <c r="H6" s="19">
        <v>2280</v>
      </c>
      <c r="I6" s="19">
        <v>1860</v>
      </c>
      <c r="J6" s="19">
        <v>1480</v>
      </c>
      <c r="K6" s="19">
        <v>3100</v>
      </c>
      <c r="L6" s="19">
        <v>1840</v>
      </c>
      <c r="M6" s="19">
        <v>1780</v>
      </c>
      <c r="N6" s="43">
        <v>1920</v>
      </c>
      <c r="O6" s="44">
        <f>SUM(Tabla25[[#This Row],[Gener]:[Desembre]])</f>
        <v>24980</v>
      </c>
    </row>
    <row r="7" spans="1:19" x14ac:dyDescent="0.25">
      <c r="A7" s="16">
        <v>3</v>
      </c>
      <c r="B7" s="17" t="s">
        <v>19</v>
      </c>
      <c r="C7" s="18"/>
      <c r="D7" s="19">
        <v>0</v>
      </c>
      <c r="E7" s="19"/>
      <c r="F7" s="19"/>
      <c r="G7" s="19"/>
      <c r="H7" s="19">
        <v>0</v>
      </c>
      <c r="I7" s="19"/>
      <c r="J7" s="19"/>
      <c r="K7" s="19">
        <v>0</v>
      </c>
      <c r="L7" s="19"/>
      <c r="M7" s="19"/>
      <c r="N7" s="43"/>
      <c r="O7" s="44">
        <f>SUM(Tabla25[[#This Row],[Gener]:[Desembre]])</f>
        <v>0</v>
      </c>
    </row>
    <row r="8" spans="1:19" x14ac:dyDescent="0.25">
      <c r="A8" s="16">
        <v>4</v>
      </c>
      <c r="B8" s="17" t="s">
        <v>20</v>
      </c>
      <c r="C8" s="18"/>
      <c r="D8" s="19">
        <v>0</v>
      </c>
      <c r="E8" s="19"/>
      <c r="F8" s="19"/>
      <c r="G8" s="19"/>
      <c r="H8" s="19">
        <v>0</v>
      </c>
      <c r="I8" s="19"/>
      <c r="J8" s="19"/>
      <c r="K8" s="19">
        <v>0</v>
      </c>
      <c r="L8" s="19"/>
      <c r="M8" s="19"/>
      <c r="N8" s="43"/>
      <c r="O8" s="44">
        <f>SUM(Tabla25[[#This Row],[Gener]:[Desembre]])</f>
        <v>0</v>
      </c>
      <c r="Q8"/>
      <c r="R8" s="45"/>
      <c r="S8" s="46"/>
    </row>
    <row r="9" spans="1:19" x14ac:dyDescent="0.25">
      <c r="A9" s="16">
        <v>5</v>
      </c>
      <c r="B9" s="17" t="s">
        <v>21</v>
      </c>
      <c r="C9" s="18"/>
      <c r="D9" s="19">
        <v>0</v>
      </c>
      <c r="E9" s="19"/>
      <c r="F9" s="19"/>
      <c r="G9" s="19"/>
      <c r="H9" s="19">
        <v>0</v>
      </c>
      <c r="I9" s="19"/>
      <c r="J9" s="19"/>
      <c r="K9" s="19">
        <v>0</v>
      </c>
      <c r="L9" s="19"/>
      <c r="M9" s="19"/>
      <c r="N9" s="43"/>
      <c r="O9" s="44">
        <f>SUM(Tabla25[[#This Row],[Gener]:[Desembre]])</f>
        <v>0</v>
      </c>
      <c r="Q9"/>
      <c r="R9" s="45"/>
      <c r="S9" s="46"/>
    </row>
    <row r="10" spans="1:19" x14ac:dyDescent="0.25">
      <c r="A10" s="16">
        <v>6</v>
      </c>
      <c r="B10" s="17" t="s">
        <v>22</v>
      </c>
      <c r="C10" s="18">
        <v>6380</v>
      </c>
      <c r="D10" s="19">
        <v>5500</v>
      </c>
      <c r="E10" s="19">
        <v>3740</v>
      </c>
      <c r="F10" s="19">
        <v>3320</v>
      </c>
      <c r="G10" s="19">
        <v>4700</v>
      </c>
      <c r="H10" s="19">
        <v>5900</v>
      </c>
      <c r="I10" s="19">
        <v>6520</v>
      </c>
      <c r="J10" s="19">
        <v>4320</v>
      </c>
      <c r="K10" s="19">
        <v>5340</v>
      </c>
      <c r="L10" s="19">
        <v>7580</v>
      </c>
      <c r="M10" s="19">
        <v>5860</v>
      </c>
      <c r="N10" s="43">
        <v>6080</v>
      </c>
      <c r="O10" s="44">
        <f>SUM(Tabla25[[#This Row],[Gener]:[Desembre]])</f>
        <v>65240</v>
      </c>
      <c r="Q10"/>
      <c r="R10" s="45"/>
      <c r="S10" s="46"/>
    </row>
    <row r="11" spans="1:19" x14ac:dyDescent="0.25">
      <c r="A11" s="16">
        <v>8</v>
      </c>
      <c r="B11" s="22" t="s">
        <v>23</v>
      </c>
      <c r="C11" s="18"/>
      <c r="D11" s="19">
        <v>0</v>
      </c>
      <c r="E11" s="19"/>
      <c r="F11" s="19"/>
      <c r="G11" s="19"/>
      <c r="H11" s="19">
        <v>0</v>
      </c>
      <c r="I11" s="19"/>
      <c r="J11" s="19"/>
      <c r="K11" s="19">
        <v>0</v>
      </c>
      <c r="L11" s="19"/>
      <c r="M11" s="19"/>
      <c r="N11" s="43"/>
      <c r="O11" s="47">
        <f>SUM(Tabla25[[#This Row],[Gener]:[Desembre]])</f>
        <v>0</v>
      </c>
      <c r="Q11"/>
      <c r="R11" s="45"/>
      <c r="S11" s="46"/>
    </row>
    <row r="12" spans="1:19" x14ac:dyDescent="0.25">
      <c r="A12" s="16">
        <v>9</v>
      </c>
      <c r="B12" s="17" t="s">
        <v>24</v>
      </c>
      <c r="C12" s="18"/>
      <c r="D12" s="19">
        <v>0</v>
      </c>
      <c r="E12" s="19"/>
      <c r="F12" s="19"/>
      <c r="G12" s="19"/>
      <c r="H12" s="19">
        <v>0</v>
      </c>
      <c r="I12" s="19"/>
      <c r="J12" s="19"/>
      <c r="K12" s="19">
        <v>0</v>
      </c>
      <c r="L12" s="19"/>
      <c r="M12" s="19"/>
      <c r="N12" s="43"/>
      <c r="O12" s="44">
        <f>SUM(Tabla25[[#This Row],[Gener]:[Desembre]])</f>
        <v>0</v>
      </c>
      <c r="Q12"/>
      <c r="R12" s="45"/>
      <c r="S12" s="46"/>
    </row>
    <row r="13" spans="1:19" x14ac:dyDescent="0.25">
      <c r="A13" s="16">
        <v>10</v>
      </c>
      <c r="B13" s="11" t="s">
        <v>25</v>
      </c>
      <c r="C13" s="18">
        <v>7840</v>
      </c>
      <c r="D13" s="19">
        <v>9540</v>
      </c>
      <c r="E13" s="19">
        <v>6120</v>
      </c>
      <c r="F13" s="19">
        <v>5300</v>
      </c>
      <c r="G13" s="19">
        <v>7880</v>
      </c>
      <c r="H13" s="19">
        <v>6920</v>
      </c>
      <c r="I13" s="19">
        <v>8080</v>
      </c>
      <c r="J13" s="19">
        <v>6420</v>
      </c>
      <c r="K13" s="19">
        <v>9240</v>
      </c>
      <c r="L13" s="19">
        <v>9240</v>
      </c>
      <c r="M13" s="19">
        <v>9220</v>
      </c>
      <c r="N13" s="43">
        <v>7780</v>
      </c>
      <c r="O13" s="42">
        <f>SUM(Tabla25[[#This Row],[Gener]:[Desembre]])</f>
        <v>93580</v>
      </c>
      <c r="Q13"/>
      <c r="R13" s="45"/>
      <c r="S13" s="46"/>
    </row>
    <row r="14" spans="1:19" x14ac:dyDescent="0.25">
      <c r="A14" s="16">
        <v>11</v>
      </c>
      <c r="B14" s="17" t="s">
        <v>26</v>
      </c>
      <c r="C14" s="18">
        <f>7980+6360+1876+33580</f>
        <v>49796</v>
      </c>
      <c r="D14" s="19">
        <v>45800</v>
      </c>
      <c r="E14" s="19">
        <f>25140+640+520</f>
        <v>26300</v>
      </c>
      <c r="F14" s="19">
        <f>260+140+9780</f>
        <v>10180</v>
      </c>
      <c r="G14" s="19">
        <v>21820</v>
      </c>
      <c r="H14" s="19">
        <v>38611.43</v>
      </c>
      <c r="I14" s="19">
        <v>45140</v>
      </c>
      <c r="J14" s="19">
        <v>26960</v>
      </c>
      <c r="K14" s="19">
        <v>42400</v>
      </c>
      <c r="L14" s="19">
        <f>820+4680+720+37360</f>
        <v>43580</v>
      </c>
      <c r="M14" s="19">
        <f>1860+33960</f>
        <v>35820</v>
      </c>
      <c r="N14" s="43">
        <v>53660</v>
      </c>
      <c r="O14" s="44">
        <f>SUM(Tabla25[[#This Row],[Gener]:[Desembre]])</f>
        <v>440067.43</v>
      </c>
      <c r="Q14"/>
      <c r="R14" s="45"/>
      <c r="S14" s="46"/>
    </row>
    <row r="15" spans="1:19" x14ac:dyDescent="0.25">
      <c r="A15" s="16">
        <v>12</v>
      </c>
      <c r="B15" s="17" t="s">
        <v>27</v>
      </c>
      <c r="C15" s="18"/>
      <c r="D15" s="19">
        <v>0</v>
      </c>
      <c r="E15" s="19"/>
      <c r="F15" s="19"/>
      <c r="G15" s="19"/>
      <c r="H15" s="19">
        <v>0</v>
      </c>
      <c r="I15" s="19"/>
      <c r="J15" s="19"/>
      <c r="K15" s="19">
        <v>0</v>
      </c>
      <c r="L15" s="19"/>
      <c r="M15" s="19"/>
      <c r="N15" s="43"/>
      <c r="O15" s="44">
        <f>SUM(Tabla25[[#This Row],[Gener]:[Desembre]])</f>
        <v>0</v>
      </c>
      <c r="Q15"/>
      <c r="R15" s="45"/>
      <c r="S15" s="46"/>
    </row>
    <row r="16" spans="1:19" x14ac:dyDescent="0.25">
      <c r="A16" s="16">
        <v>13</v>
      </c>
      <c r="B16" s="17" t="s">
        <v>28</v>
      </c>
      <c r="C16" s="18"/>
      <c r="D16" s="19">
        <v>0</v>
      </c>
      <c r="E16" s="19"/>
      <c r="F16" s="19"/>
      <c r="G16" s="19"/>
      <c r="H16" s="19">
        <v>0</v>
      </c>
      <c r="I16" s="19"/>
      <c r="J16" s="19"/>
      <c r="K16" s="19">
        <v>0</v>
      </c>
      <c r="L16" s="19"/>
      <c r="M16" s="19"/>
      <c r="N16" s="43"/>
      <c r="O16" s="44">
        <f>SUM(Tabla25[[#This Row],[Gener]:[Desembre]])</f>
        <v>0</v>
      </c>
      <c r="Q16"/>
      <c r="R16" s="45"/>
      <c r="S16" s="46"/>
    </row>
    <row r="17" spans="1:19" x14ac:dyDescent="0.25">
      <c r="A17" s="16">
        <v>14</v>
      </c>
      <c r="B17" s="17" t="s">
        <v>29</v>
      </c>
      <c r="C17" s="18"/>
      <c r="D17" s="19">
        <v>0</v>
      </c>
      <c r="E17" s="19"/>
      <c r="F17" s="19"/>
      <c r="G17" s="19"/>
      <c r="H17" s="19">
        <v>0</v>
      </c>
      <c r="I17" s="19"/>
      <c r="J17" s="19"/>
      <c r="K17" s="19">
        <v>0</v>
      </c>
      <c r="L17" s="19"/>
      <c r="M17" s="19"/>
      <c r="N17" s="43"/>
      <c r="O17" s="44">
        <f>SUM(Tabla25[[#This Row],[Gener]:[Desembre]])</f>
        <v>0</v>
      </c>
      <c r="Q17"/>
      <c r="R17" s="45"/>
      <c r="S17" s="46"/>
    </row>
    <row r="18" spans="1:19" x14ac:dyDescent="0.25">
      <c r="A18" s="16">
        <v>15</v>
      </c>
      <c r="B18" s="17" t="s">
        <v>30</v>
      </c>
      <c r="C18" s="18"/>
      <c r="D18" s="19">
        <v>0</v>
      </c>
      <c r="E18" s="19"/>
      <c r="F18" s="19"/>
      <c r="G18" s="19"/>
      <c r="H18" s="19">
        <v>0</v>
      </c>
      <c r="I18" s="19"/>
      <c r="J18" s="19"/>
      <c r="K18" s="19">
        <v>0</v>
      </c>
      <c r="L18" s="19"/>
      <c r="M18" s="19"/>
      <c r="N18" s="43"/>
      <c r="O18" s="44">
        <f>SUM(Tabla25[[#This Row],[Gener]:[Desembre]])</f>
        <v>0</v>
      </c>
    </row>
    <row r="19" spans="1:19" x14ac:dyDescent="0.25">
      <c r="A19" s="16">
        <v>16</v>
      </c>
      <c r="B19" s="17" t="s">
        <v>31</v>
      </c>
      <c r="C19" s="18"/>
      <c r="D19" s="19">
        <v>0</v>
      </c>
      <c r="E19" s="19"/>
      <c r="F19" s="19"/>
      <c r="G19" s="19"/>
      <c r="H19" s="19">
        <v>0</v>
      </c>
      <c r="I19" s="19"/>
      <c r="J19" s="19"/>
      <c r="K19" s="19">
        <v>0</v>
      </c>
      <c r="L19" s="19"/>
      <c r="M19" s="19"/>
      <c r="N19" s="43"/>
      <c r="O19" s="44">
        <f>SUM(Tabla25[[#This Row],[Gener]:[Desembre]])</f>
        <v>0</v>
      </c>
    </row>
    <row r="20" spans="1:19" x14ac:dyDescent="0.25">
      <c r="A20" s="16">
        <v>17</v>
      </c>
      <c r="B20" s="17" t="s">
        <v>32</v>
      </c>
      <c r="C20" s="18"/>
      <c r="D20" s="19">
        <v>0</v>
      </c>
      <c r="E20" s="19"/>
      <c r="F20" s="19"/>
      <c r="G20" s="19"/>
      <c r="H20" s="19">
        <v>0</v>
      </c>
      <c r="I20" s="19"/>
      <c r="J20" s="19"/>
      <c r="K20" s="19">
        <v>0</v>
      </c>
      <c r="L20" s="19"/>
      <c r="M20" s="19"/>
      <c r="N20" s="43"/>
      <c r="O20" s="44">
        <f>SUM(Tabla25[[#This Row],[Gener]:[Desembre]])</f>
        <v>0</v>
      </c>
    </row>
    <row r="21" spans="1:19" x14ac:dyDescent="0.25">
      <c r="A21" s="16">
        <v>18</v>
      </c>
      <c r="B21" s="17" t="s">
        <v>33</v>
      </c>
      <c r="C21" s="18">
        <f>3300+24680</f>
        <v>27980</v>
      </c>
      <c r="D21" s="19">
        <v>28760</v>
      </c>
      <c r="E21" s="19">
        <f>20620+2300</f>
        <v>22920</v>
      </c>
      <c r="F21" s="19">
        <v>12040</v>
      </c>
      <c r="G21" s="19">
        <v>17280</v>
      </c>
      <c r="H21" s="19">
        <v>27440</v>
      </c>
      <c r="I21" s="19">
        <v>31400</v>
      </c>
      <c r="J21" s="19">
        <v>17980</v>
      </c>
      <c r="K21" s="19">
        <v>31520</v>
      </c>
      <c r="L21" s="19">
        <f>2180+25200</f>
        <v>27380</v>
      </c>
      <c r="M21" s="19">
        <v>23600</v>
      </c>
      <c r="N21" s="43">
        <v>26300</v>
      </c>
      <c r="O21" s="44">
        <f>SUM(Tabla25[[#This Row],[Gener]:[Desembre]])</f>
        <v>294600</v>
      </c>
    </row>
    <row r="22" spans="1:19" x14ac:dyDescent="0.25">
      <c r="A22" s="16">
        <v>19</v>
      </c>
      <c r="B22" s="17" t="s">
        <v>34</v>
      </c>
      <c r="C22" s="18">
        <v>8040</v>
      </c>
      <c r="D22" s="19">
        <v>7300</v>
      </c>
      <c r="E22" s="19">
        <v>4640</v>
      </c>
      <c r="F22" s="19">
        <v>3100</v>
      </c>
      <c r="G22" s="19">
        <v>4280</v>
      </c>
      <c r="H22" s="19">
        <v>5360</v>
      </c>
      <c r="I22" s="19">
        <v>5500</v>
      </c>
      <c r="J22" s="19">
        <v>1881</v>
      </c>
      <c r="K22" s="19">
        <v>6120</v>
      </c>
      <c r="L22" s="19">
        <v>7080</v>
      </c>
      <c r="M22" s="19">
        <v>5300</v>
      </c>
      <c r="N22" s="43">
        <v>6680</v>
      </c>
      <c r="O22" s="44">
        <f>SUM(Tabla25[[#This Row],[Gener]:[Desembre]])</f>
        <v>65281</v>
      </c>
    </row>
    <row r="23" spans="1:19" x14ac:dyDescent="0.25">
      <c r="A23" s="16">
        <v>20</v>
      </c>
      <c r="B23" s="17" t="s">
        <v>35</v>
      </c>
      <c r="C23" s="18"/>
      <c r="D23" s="19">
        <v>0</v>
      </c>
      <c r="E23" s="19"/>
      <c r="F23" s="19"/>
      <c r="G23" s="19"/>
      <c r="H23" s="19">
        <v>0</v>
      </c>
      <c r="I23" s="19"/>
      <c r="J23" s="19"/>
      <c r="K23" s="19">
        <v>0</v>
      </c>
      <c r="L23" s="19"/>
      <c r="M23" s="19"/>
      <c r="N23" s="43"/>
      <c r="O23" s="44">
        <f>SUM(Tabla25[[#This Row],[Gener]:[Desembre]])</f>
        <v>0</v>
      </c>
    </row>
    <row r="24" spans="1:19" x14ac:dyDescent="0.25">
      <c r="A24" s="16">
        <v>21</v>
      </c>
      <c r="B24" s="17" t="s">
        <v>36</v>
      </c>
      <c r="C24" s="18"/>
      <c r="D24" s="19">
        <v>0</v>
      </c>
      <c r="E24" s="19"/>
      <c r="F24" s="19"/>
      <c r="G24" s="19"/>
      <c r="H24" s="19">
        <v>0</v>
      </c>
      <c r="I24" s="19"/>
      <c r="J24" s="19"/>
      <c r="K24" s="19">
        <v>0</v>
      </c>
      <c r="L24" s="19"/>
      <c r="M24" s="19"/>
      <c r="N24" s="43"/>
      <c r="O24" s="44">
        <f>SUM(Tabla25[[#This Row],[Gener]:[Desembre]])</f>
        <v>0</v>
      </c>
    </row>
    <row r="25" spans="1:19" x14ac:dyDescent="0.25">
      <c r="A25" s="16">
        <v>22</v>
      </c>
      <c r="B25" s="17" t="s">
        <v>37</v>
      </c>
      <c r="C25" s="18">
        <v>6640</v>
      </c>
      <c r="D25" s="19">
        <v>5460</v>
      </c>
      <c r="E25" s="19">
        <v>5940</v>
      </c>
      <c r="F25" s="19">
        <v>4160</v>
      </c>
      <c r="G25" s="19">
        <v>6310</v>
      </c>
      <c r="H25" s="19">
        <v>5860</v>
      </c>
      <c r="I25" s="19">
        <v>5480</v>
      </c>
      <c r="J25" s="19">
        <v>3100</v>
      </c>
      <c r="K25" s="19">
        <v>6060</v>
      </c>
      <c r="L25" s="19">
        <v>5600</v>
      </c>
      <c r="M25" s="19">
        <v>5360</v>
      </c>
      <c r="N25" s="43">
        <v>6140</v>
      </c>
      <c r="O25" s="44">
        <f>SUM(Tabla25[[#This Row],[Gener]:[Desembre]])</f>
        <v>66110</v>
      </c>
    </row>
    <row r="26" spans="1:19" x14ac:dyDescent="0.25">
      <c r="A26" s="16">
        <v>23</v>
      </c>
      <c r="B26" s="17" t="s">
        <v>38</v>
      </c>
      <c r="C26" s="18"/>
      <c r="D26" s="19">
        <v>0</v>
      </c>
      <c r="E26" s="19"/>
      <c r="F26" s="19"/>
      <c r="G26" s="19"/>
      <c r="H26" s="19">
        <v>0</v>
      </c>
      <c r="I26" s="19"/>
      <c r="J26" s="19"/>
      <c r="K26" s="19">
        <v>0</v>
      </c>
      <c r="L26" s="19"/>
      <c r="M26" s="19"/>
      <c r="N26" s="43"/>
      <c r="O26" s="44">
        <f>SUM(Tabla25[[#This Row],[Gener]:[Desembre]])</f>
        <v>0</v>
      </c>
    </row>
    <row r="27" spans="1:19" x14ac:dyDescent="0.25">
      <c r="A27" s="16">
        <v>24</v>
      </c>
      <c r="B27" s="17" t="s">
        <v>39</v>
      </c>
      <c r="C27" s="48">
        <v>16980</v>
      </c>
      <c r="D27" s="49">
        <v>13820</v>
      </c>
      <c r="E27" s="49">
        <v>10920</v>
      </c>
      <c r="F27" s="49">
        <v>13480</v>
      </c>
      <c r="G27" s="49">
        <v>13600</v>
      </c>
      <c r="H27" s="49">
        <v>13160</v>
      </c>
      <c r="I27" s="50">
        <v>19180</v>
      </c>
      <c r="J27" s="51">
        <v>14360</v>
      </c>
      <c r="K27" s="19">
        <v>11760</v>
      </c>
      <c r="L27" s="19">
        <v>15820</v>
      </c>
      <c r="M27" s="19">
        <v>13180</v>
      </c>
      <c r="N27" s="43">
        <v>14900</v>
      </c>
      <c r="O27" s="44">
        <f>SUM(Tabla25[[#This Row],[Gener]:[Desembre]])</f>
        <v>171160</v>
      </c>
    </row>
    <row r="28" spans="1:19" x14ac:dyDescent="0.25">
      <c r="A28" s="16">
        <v>25</v>
      </c>
      <c r="B28" s="17" t="s">
        <v>40</v>
      </c>
      <c r="C28" s="18"/>
      <c r="D28" s="19">
        <v>0</v>
      </c>
      <c r="E28" s="19"/>
      <c r="F28" s="19"/>
      <c r="G28" s="19"/>
      <c r="H28" s="19">
        <v>0</v>
      </c>
      <c r="I28" s="19"/>
      <c r="J28" s="19"/>
      <c r="K28" s="19">
        <v>0</v>
      </c>
      <c r="L28" s="19"/>
      <c r="M28" s="19"/>
      <c r="N28" s="43"/>
      <c r="O28" s="44">
        <f>SUM(Tabla25[[#This Row],[Gener]:[Desembre]])</f>
        <v>0</v>
      </c>
    </row>
    <row r="29" spans="1:19" x14ac:dyDescent="0.25">
      <c r="A29" s="16">
        <v>26</v>
      </c>
      <c r="B29" s="17" t="s">
        <v>41</v>
      </c>
      <c r="C29" s="18">
        <v>6560</v>
      </c>
      <c r="D29" s="19">
        <v>5180</v>
      </c>
      <c r="E29" s="19">
        <v>5720</v>
      </c>
      <c r="F29" s="19">
        <v>7900</v>
      </c>
      <c r="G29" s="19">
        <v>5700</v>
      </c>
      <c r="H29" s="19">
        <v>6020</v>
      </c>
      <c r="I29" s="19">
        <v>7540</v>
      </c>
      <c r="J29" s="19">
        <v>5640</v>
      </c>
      <c r="K29" s="19">
        <v>7260</v>
      </c>
      <c r="L29" s="19">
        <v>5400</v>
      </c>
      <c r="M29" s="19">
        <v>5220</v>
      </c>
      <c r="N29" s="43">
        <v>7020</v>
      </c>
      <c r="O29" s="44">
        <f>SUM(Tabla25[[#This Row],[Gener]:[Desembre]])</f>
        <v>75160</v>
      </c>
    </row>
    <row r="30" spans="1:19" x14ac:dyDescent="0.25">
      <c r="A30" s="16">
        <v>27</v>
      </c>
      <c r="B30" s="17" t="s">
        <v>42</v>
      </c>
      <c r="C30" s="48"/>
      <c r="D30" s="49">
        <v>0</v>
      </c>
      <c r="E30" s="49"/>
      <c r="F30" s="49"/>
      <c r="G30" s="19"/>
      <c r="H30" s="19">
        <v>0</v>
      </c>
      <c r="I30" s="19"/>
      <c r="J30" s="19"/>
      <c r="K30" s="19">
        <v>0</v>
      </c>
      <c r="L30" s="19"/>
      <c r="M30" s="19"/>
      <c r="N30" s="43"/>
      <c r="O30" s="44">
        <f>SUM(Tabla25[[#This Row],[Gener]:[Desembre]])</f>
        <v>0</v>
      </c>
    </row>
    <row r="31" spans="1:19" x14ac:dyDescent="0.25">
      <c r="A31" s="16">
        <v>28</v>
      </c>
      <c r="B31" s="17" t="s">
        <v>43</v>
      </c>
      <c r="C31" s="18"/>
      <c r="D31" s="19">
        <v>0</v>
      </c>
      <c r="E31" s="19"/>
      <c r="F31" s="19"/>
      <c r="G31" s="19"/>
      <c r="H31" s="19">
        <v>0</v>
      </c>
      <c r="I31" s="19"/>
      <c r="J31" s="19"/>
      <c r="K31" s="19">
        <v>0</v>
      </c>
      <c r="L31" s="19"/>
      <c r="M31" s="19"/>
      <c r="N31" s="43"/>
      <c r="O31" s="44">
        <f>SUM(Tabla25[[#This Row],[Gener]:[Desembre]])</f>
        <v>0</v>
      </c>
    </row>
    <row r="32" spans="1:19" x14ac:dyDescent="0.25">
      <c r="A32" s="16">
        <v>29</v>
      </c>
      <c r="B32" s="17" t="s">
        <v>44</v>
      </c>
      <c r="C32" s="18"/>
      <c r="D32" s="19">
        <v>0</v>
      </c>
      <c r="E32" s="19"/>
      <c r="F32" s="19"/>
      <c r="G32" s="19"/>
      <c r="H32" s="19">
        <v>0</v>
      </c>
      <c r="I32" s="19"/>
      <c r="J32" s="19"/>
      <c r="K32" s="19">
        <v>0</v>
      </c>
      <c r="L32" s="19"/>
      <c r="M32" s="19"/>
      <c r="N32" s="43"/>
      <c r="O32" s="44">
        <f>SUM(Tabla25[[#This Row],[Gener]:[Desembre]])</f>
        <v>0</v>
      </c>
    </row>
    <row r="33" spans="1:15" x14ac:dyDescent="0.25">
      <c r="A33" s="16">
        <v>30</v>
      </c>
      <c r="B33" s="17" t="s">
        <v>45</v>
      </c>
      <c r="C33" s="18">
        <v>15280</v>
      </c>
      <c r="D33" s="19">
        <v>10820</v>
      </c>
      <c r="E33" s="19">
        <v>12620</v>
      </c>
      <c r="F33" s="19">
        <v>19500</v>
      </c>
      <c r="G33" s="19">
        <v>17440</v>
      </c>
      <c r="H33" s="19">
        <v>14020</v>
      </c>
      <c r="I33" s="19">
        <v>19340</v>
      </c>
      <c r="J33" s="19">
        <v>12340</v>
      </c>
      <c r="K33" s="19">
        <v>18860</v>
      </c>
      <c r="L33" s="19">
        <v>13340</v>
      </c>
      <c r="M33" s="19">
        <v>14040</v>
      </c>
      <c r="N33" s="43">
        <v>17480</v>
      </c>
      <c r="O33" s="44">
        <f>SUM(Tabla25[[#This Row],[Gener]:[Desembre]])</f>
        <v>185080</v>
      </c>
    </row>
    <row r="34" spans="1:15" x14ac:dyDescent="0.25">
      <c r="A34" s="16">
        <v>31</v>
      </c>
      <c r="B34" s="17" t="s">
        <v>46</v>
      </c>
      <c r="C34" s="18"/>
      <c r="D34" s="19">
        <v>0</v>
      </c>
      <c r="E34" s="19"/>
      <c r="F34" s="19"/>
      <c r="G34" s="19"/>
      <c r="H34" s="19">
        <v>0</v>
      </c>
      <c r="I34" s="19"/>
      <c r="J34" s="19"/>
      <c r="K34" s="19">
        <v>0</v>
      </c>
      <c r="L34" s="19"/>
      <c r="M34" s="19"/>
      <c r="N34" s="43"/>
      <c r="O34" s="44">
        <f>SUM(Tabla25[[#This Row],[Gener]:[Desembre]])</f>
        <v>0</v>
      </c>
    </row>
    <row r="35" spans="1:15" x14ac:dyDescent="0.25">
      <c r="A35" s="16">
        <v>32</v>
      </c>
      <c r="B35" s="17" t="s">
        <v>47</v>
      </c>
      <c r="C35" s="18"/>
      <c r="D35" s="19">
        <v>0</v>
      </c>
      <c r="E35" s="19"/>
      <c r="F35" s="19"/>
      <c r="G35" s="19"/>
      <c r="H35" s="19">
        <v>0</v>
      </c>
      <c r="I35" s="19"/>
      <c r="J35" s="19"/>
      <c r="K35" s="19">
        <v>0</v>
      </c>
      <c r="L35" s="19"/>
      <c r="M35" s="19"/>
      <c r="N35" s="43"/>
      <c r="O35" s="44">
        <f>SUM(Tabla25[[#This Row],[Gener]:[Desembre]])</f>
        <v>0</v>
      </c>
    </row>
    <row r="36" spans="1:15" x14ac:dyDescent="0.25">
      <c r="A36" s="16">
        <v>33</v>
      </c>
      <c r="B36" s="17" t="s">
        <v>48</v>
      </c>
      <c r="C36" s="18"/>
      <c r="D36" s="19">
        <v>0</v>
      </c>
      <c r="E36" s="19"/>
      <c r="F36" s="19"/>
      <c r="G36" s="19"/>
      <c r="H36" s="19">
        <v>0</v>
      </c>
      <c r="I36" s="19"/>
      <c r="J36" s="19"/>
      <c r="K36" s="19">
        <v>0</v>
      </c>
      <c r="L36" s="19"/>
      <c r="M36" s="19"/>
      <c r="N36" s="43"/>
      <c r="O36" s="44">
        <f>SUM(Tabla25[[#This Row],[Gener]:[Desembre]])</f>
        <v>0</v>
      </c>
    </row>
    <row r="37" spans="1:15" x14ac:dyDescent="0.25">
      <c r="A37" s="16">
        <v>34</v>
      </c>
      <c r="B37" s="17" t="s">
        <v>49</v>
      </c>
      <c r="C37" s="18"/>
      <c r="D37" s="19">
        <v>0</v>
      </c>
      <c r="E37" s="19"/>
      <c r="F37" s="19"/>
      <c r="G37" s="19"/>
      <c r="H37" s="19">
        <v>0</v>
      </c>
      <c r="I37" s="19"/>
      <c r="J37" s="19"/>
      <c r="K37" s="19">
        <v>0</v>
      </c>
      <c r="L37" s="19"/>
      <c r="M37" s="19"/>
      <c r="N37" s="43"/>
      <c r="O37" s="44">
        <f>SUM(Tabla25[[#This Row],[Gener]:[Desembre]])</f>
        <v>0</v>
      </c>
    </row>
    <row r="38" spans="1:15" x14ac:dyDescent="0.25">
      <c r="A38" s="16">
        <v>35</v>
      </c>
      <c r="B38" s="17" t="s">
        <v>50</v>
      </c>
      <c r="C38" s="18"/>
      <c r="D38" s="19">
        <v>0</v>
      </c>
      <c r="E38" s="19"/>
      <c r="F38" s="19"/>
      <c r="G38" s="19"/>
      <c r="H38" s="19">
        <v>0</v>
      </c>
      <c r="I38" s="19"/>
      <c r="J38" s="19"/>
      <c r="K38" s="19">
        <v>0</v>
      </c>
      <c r="L38" s="19"/>
      <c r="M38" s="19"/>
      <c r="N38" s="43"/>
      <c r="O38" s="44">
        <f>SUM(Tabla25[[#This Row],[Gener]:[Desembre]])</f>
        <v>0</v>
      </c>
    </row>
    <row r="39" spans="1:15" x14ac:dyDescent="0.25">
      <c r="A39" s="16">
        <v>36</v>
      </c>
      <c r="B39" s="17" t="s">
        <v>51</v>
      </c>
      <c r="C39" s="18"/>
      <c r="D39" s="19">
        <v>0</v>
      </c>
      <c r="E39" s="19"/>
      <c r="F39" s="19"/>
      <c r="G39" s="19"/>
      <c r="H39" s="19">
        <v>0</v>
      </c>
      <c r="I39" s="19"/>
      <c r="J39" s="19"/>
      <c r="K39" s="19">
        <v>0</v>
      </c>
      <c r="L39" s="19"/>
      <c r="M39" s="19"/>
      <c r="N39" s="43"/>
      <c r="O39" s="44">
        <f>SUM(Tabla25[[#This Row],[Gener]:[Desembre]])</f>
        <v>0</v>
      </c>
    </row>
    <row r="40" spans="1:15" x14ac:dyDescent="0.25">
      <c r="A40" s="16">
        <v>37</v>
      </c>
      <c r="B40" s="17" t="s">
        <v>52</v>
      </c>
      <c r="C40" s="18"/>
      <c r="D40" s="19">
        <v>0</v>
      </c>
      <c r="E40" s="19"/>
      <c r="F40" s="19"/>
      <c r="G40" s="19"/>
      <c r="H40" s="19">
        <v>0</v>
      </c>
      <c r="I40" s="19"/>
      <c r="J40" s="19"/>
      <c r="K40" s="19">
        <v>0</v>
      </c>
      <c r="L40" s="19"/>
      <c r="M40" s="19"/>
      <c r="N40" s="43"/>
      <c r="O40" s="44">
        <f>SUM(Tabla25[[#This Row],[Gener]:[Desembre]])</f>
        <v>0</v>
      </c>
    </row>
    <row r="41" spans="1:15" x14ac:dyDescent="0.25">
      <c r="A41" s="16">
        <v>38</v>
      </c>
      <c r="B41" s="17" t="s">
        <v>53</v>
      </c>
      <c r="C41" s="18"/>
      <c r="D41" s="19">
        <v>0</v>
      </c>
      <c r="E41" s="19"/>
      <c r="F41" s="19"/>
      <c r="G41" s="19"/>
      <c r="H41" s="19">
        <v>0</v>
      </c>
      <c r="I41" s="19"/>
      <c r="J41" s="19"/>
      <c r="K41" s="19">
        <v>0</v>
      </c>
      <c r="L41" s="19"/>
      <c r="M41" s="19"/>
      <c r="N41" s="43"/>
      <c r="O41" s="44">
        <f>SUM(Tabla25[[#This Row],[Gener]:[Desembre]])</f>
        <v>0</v>
      </c>
    </row>
    <row r="42" spans="1:15" x14ac:dyDescent="0.25">
      <c r="A42" s="16">
        <v>39</v>
      </c>
      <c r="B42" s="17" t="s">
        <v>54</v>
      </c>
      <c r="C42" s="48">
        <v>7560</v>
      </c>
      <c r="D42" s="49">
        <v>4980</v>
      </c>
      <c r="E42" s="49">
        <v>5020</v>
      </c>
      <c r="F42" s="49">
        <v>7340</v>
      </c>
      <c r="G42" s="49">
        <v>6360</v>
      </c>
      <c r="H42" s="49">
        <v>5780</v>
      </c>
      <c r="I42" s="50">
        <v>8240</v>
      </c>
      <c r="J42" s="51">
        <v>6360</v>
      </c>
      <c r="K42" s="19">
        <v>7860</v>
      </c>
      <c r="L42" s="19">
        <v>5620</v>
      </c>
      <c r="M42" s="19">
        <v>6040</v>
      </c>
      <c r="N42" s="43">
        <v>7320</v>
      </c>
      <c r="O42" s="44">
        <f>SUM(Tabla25[[#This Row],[Gener]:[Desembre]])</f>
        <v>78480</v>
      </c>
    </row>
    <row r="43" spans="1:15" x14ac:dyDescent="0.25">
      <c r="A43" s="16">
        <v>40</v>
      </c>
      <c r="B43" s="17" t="s">
        <v>55</v>
      </c>
      <c r="C43" s="12"/>
      <c r="D43" s="13">
        <v>0</v>
      </c>
      <c r="E43" s="13"/>
      <c r="F43" s="13"/>
      <c r="G43" s="13"/>
      <c r="H43" s="13">
        <v>0</v>
      </c>
      <c r="I43" s="13"/>
      <c r="J43" s="13"/>
      <c r="K43" s="13">
        <v>0</v>
      </c>
      <c r="L43" s="13"/>
      <c r="M43" s="13"/>
      <c r="N43" s="14"/>
      <c r="O43" s="44">
        <f>SUM(Tabla25[[#This Row],[Gener]:[Desembre]])</f>
        <v>0</v>
      </c>
    </row>
    <row r="44" spans="1:15" ht="15.75" thickBot="1" x14ac:dyDescent="0.3">
      <c r="A44" s="27">
        <v>41</v>
      </c>
      <c r="B44" s="22" t="s">
        <v>56</v>
      </c>
      <c r="C44" s="12"/>
      <c r="D44" s="13">
        <v>0</v>
      </c>
      <c r="E44" s="13"/>
      <c r="F44" s="28"/>
      <c r="G44" s="28"/>
      <c r="H44" s="28">
        <v>0</v>
      </c>
      <c r="I44" s="28"/>
      <c r="J44" s="13"/>
      <c r="K44" s="13">
        <v>0</v>
      </c>
      <c r="L44" s="28"/>
      <c r="M44" s="28"/>
      <c r="N44" s="29"/>
      <c r="O44" s="47">
        <f>SUM(Tabla25[[#This Row],[Gener]:[Desembre]])</f>
        <v>0</v>
      </c>
    </row>
    <row r="45" spans="1:15" s="4" customFormat="1" ht="15.75" thickBot="1" x14ac:dyDescent="0.3">
      <c r="A45" s="30"/>
      <c r="B45" s="6" t="s">
        <v>57</v>
      </c>
      <c r="C45" s="7">
        <f t="shared" ref="C45:L45" si="0">SUBTOTAL(109,C5:C44)</f>
        <v>154976</v>
      </c>
      <c r="D45" s="8">
        <f t="shared" si="0"/>
        <v>139800</v>
      </c>
      <c r="E45" s="8">
        <f t="shared" si="0"/>
        <v>106340</v>
      </c>
      <c r="F45" s="8">
        <f t="shared" si="0"/>
        <v>87840</v>
      </c>
      <c r="G45" s="8">
        <f t="shared" si="0"/>
        <v>107610</v>
      </c>
      <c r="H45" s="8">
        <f t="shared" si="0"/>
        <v>131351.43</v>
      </c>
      <c r="I45" s="8">
        <f t="shared" si="0"/>
        <v>158280</v>
      </c>
      <c r="J45" s="8">
        <f t="shared" si="0"/>
        <v>100841</v>
      </c>
      <c r="K45" s="8">
        <f t="shared" si="0"/>
        <v>149520</v>
      </c>
      <c r="L45" s="8">
        <f t="shared" si="0"/>
        <v>142480</v>
      </c>
      <c r="M45" s="8">
        <f>SUM(M5:M44)</f>
        <v>125420</v>
      </c>
      <c r="N45" s="8">
        <f>SUM(N5:N44)</f>
        <v>155280</v>
      </c>
      <c r="O45" s="5">
        <f>SUBTOTAL(109,O5:O44)</f>
        <v>1559738.43</v>
      </c>
    </row>
    <row r="46" spans="1:15" ht="15.75" thickBot="1" x14ac:dyDescent="0.3">
      <c r="A46" s="19"/>
      <c r="B46" s="31" t="s">
        <v>58</v>
      </c>
      <c r="C46" s="32">
        <v>103820</v>
      </c>
      <c r="D46" s="33">
        <v>90610</v>
      </c>
      <c r="E46" s="33">
        <v>106300</v>
      </c>
      <c r="F46" s="33">
        <v>100890</v>
      </c>
      <c r="G46" s="33">
        <v>133260</v>
      </c>
      <c r="H46" s="33">
        <v>111540</v>
      </c>
      <c r="I46" s="33">
        <v>138406</v>
      </c>
      <c r="J46" s="33">
        <v>99960</v>
      </c>
      <c r="K46" s="33">
        <v>130040</v>
      </c>
      <c r="L46" s="33">
        <v>138815</v>
      </c>
      <c r="M46" s="33">
        <v>129980</v>
      </c>
      <c r="N46" s="34">
        <v>138300</v>
      </c>
      <c r="O46" s="35">
        <f>SUM(Tabla25[[#This Row],[Gener]:[Desembre]])</f>
        <v>1421921</v>
      </c>
    </row>
    <row r="47" spans="1:15" x14ac:dyDescent="0.25">
      <c r="A47" s="28"/>
      <c r="B47" s="36" t="s">
        <v>59</v>
      </c>
      <c r="C47" s="37">
        <f>(C45/C46)-1</f>
        <v>0.49273743016759775</v>
      </c>
      <c r="D47" s="37">
        <f>(D45/D46)-1</f>
        <v>0.54287606224478524</v>
      </c>
      <c r="E47" s="37">
        <f t="shared" ref="E47:O47" si="1">(E45/E46)-1</f>
        <v>3.7629350893686464E-4</v>
      </c>
      <c r="F47" s="37">
        <f t="shared" si="1"/>
        <v>-0.12934879571810887</v>
      </c>
      <c r="G47" s="37">
        <f t="shared" si="1"/>
        <v>-0.19248086447546153</v>
      </c>
      <c r="H47" s="37">
        <f t="shared" si="1"/>
        <v>0.17761726734803651</v>
      </c>
      <c r="I47" s="37">
        <f t="shared" si="1"/>
        <v>0.14359204080747934</v>
      </c>
      <c r="J47" s="37">
        <f t="shared" si="1"/>
        <v>8.8135254101640026E-3</v>
      </c>
      <c r="K47" s="37">
        <f t="shared" si="1"/>
        <v>0.14980006151953251</v>
      </c>
      <c r="L47" s="37">
        <f t="shared" si="1"/>
        <v>2.6402045888412662E-2</v>
      </c>
      <c r="M47" s="37">
        <f t="shared" si="1"/>
        <v>-3.5082320356978003E-2</v>
      </c>
      <c r="N47" s="37">
        <f t="shared" si="1"/>
        <v>0.1227765726681127</v>
      </c>
      <c r="O47" s="37">
        <f t="shared" si="1"/>
        <v>9.6923408543793776E-2</v>
      </c>
    </row>
    <row r="48" spans="1:15" x14ac:dyDescent="0.25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5:16" x14ac:dyDescent="0.25">
      <c r="P49" s="52"/>
    </row>
    <row r="50" spans="5:16" x14ac:dyDescent="0.25">
      <c r="E50" s="40"/>
      <c r="H50" s="41"/>
      <c r="P50" s="52"/>
    </row>
  </sheetData>
  <sheetProtection sheet="1" objects="1" scenarios="1"/>
  <pageMargins left="0.19685039370078741" right="0.23622047244094491" top="0.39370078740157483" bottom="0.47" header="0.19685039370078741" footer="0.26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2"/>
  <sheetViews>
    <sheetView showZeros="0" zoomScale="90" zoomScaleNormal="90" workbookViewId="0">
      <selection activeCell="H12" sqref="H12"/>
    </sheetView>
  </sheetViews>
  <sheetFormatPr baseColWidth="10" defaultColWidth="11.42578125" defaultRowHeight="15" x14ac:dyDescent="0.25"/>
  <cols>
    <col min="1" max="1" width="5.42578125" style="1" customWidth="1"/>
    <col min="2" max="2" width="26.140625" style="1" bestFit="1" customWidth="1"/>
    <col min="3" max="10" width="11.42578125" style="3"/>
    <col min="11" max="11" width="11.42578125" style="3" customWidth="1"/>
    <col min="12" max="12" width="11.42578125" style="3"/>
    <col min="13" max="14" width="11.42578125" style="3" customWidth="1"/>
    <col min="15" max="15" width="11.42578125" style="3"/>
    <col min="16" max="16384" width="11.42578125" style="1"/>
  </cols>
  <sheetData>
    <row r="1" spans="1:15" ht="15.75" x14ac:dyDescent="0.25">
      <c r="B1" s="2" t="s">
        <v>64</v>
      </c>
    </row>
    <row r="2" spans="1:15" ht="15.75" thickBot="1" x14ac:dyDescent="0.3">
      <c r="C2" s="4" t="s">
        <v>65</v>
      </c>
    </row>
    <row r="3" spans="1:15" ht="15.75" thickBot="1" x14ac:dyDescent="0.3">
      <c r="A3" s="5" t="s">
        <v>66</v>
      </c>
      <c r="B3" s="6" t="s">
        <v>3</v>
      </c>
      <c r="C3" s="54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55" t="s">
        <v>15</v>
      </c>
      <c r="O3" s="56" t="s">
        <v>16</v>
      </c>
    </row>
    <row r="4" spans="1:15" x14ac:dyDescent="0.25">
      <c r="A4" s="101">
        <v>1</v>
      </c>
      <c r="B4" s="102" t="s">
        <v>17</v>
      </c>
      <c r="C4" s="59">
        <v>11666.1</v>
      </c>
      <c r="D4" s="60">
        <v>11253</v>
      </c>
      <c r="E4" s="103">
        <v>13892.75</v>
      </c>
      <c r="F4" s="104">
        <v>15760.91</v>
      </c>
      <c r="G4" s="104">
        <v>14156</v>
      </c>
      <c r="H4" s="104">
        <v>16332.91</v>
      </c>
      <c r="I4" s="104">
        <v>14593.62</v>
      </c>
      <c r="J4" s="104">
        <v>15502.35</v>
      </c>
      <c r="K4" s="104">
        <v>14364.38</v>
      </c>
      <c r="L4" s="104">
        <v>14690.79</v>
      </c>
      <c r="M4" s="104">
        <v>14974.06</v>
      </c>
      <c r="N4" s="105">
        <v>16156.92</v>
      </c>
      <c r="O4" s="62">
        <f>SUM(Tabla3[[#This Row],[Gener]:[Desembre]])</f>
        <v>173343.79</v>
      </c>
    </row>
    <row r="5" spans="1:15" x14ac:dyDescent="0.25">
      <c r="A5" s="16">
        <v>2</v>
      </c>
      <c r="B5" s="106" t="s">
        <v>18</v>
      </c>
      <c r="C5" s="65">
        <v>12809.08</v>
      </c>
      <c r="D5" s="66">
        <v>10866.24</v>
      </c>
      <c r="E5" s="107">
        <v>14475.76</v>
      </c>
      <c r="F5" s="19">
        <v>14240</v>
      </c>
      <c r="G5" s="19">
        <v>14282.37</v>
      </c>
      <c r="H5" s="19">
        <v>17328</v>
      </c>
      <c r="I5" s="19">
        <v>15166.92</v>
      </c>
      <c r="J5" s="19">
        <v>16503.82</v>
      </c>
      <c r="K5" s="19">
        <v>13515.84</v>
      </c>
      <c r="L5" s="19">
        <v>12813.38</v>
      </c>
      <c r="M5" s="19">
        <v>13772.65</v>
      </c>
      <c r="N5" s="43">
        <v>13679.27</v>
      </c>
      <c r="O5" s="68">
        <f>SUM(Tabla3[[#This Row],[Gener]:[Desembre]])</f>
        <v>169453.33</v>
      </c>
    </row>
    <row r="6" spans="1:15" x14ac:dyDescent="0.25">
      <c r="A6" s="16">
        <v>3</v>
      </c>
      <c r="B6" s="106" t="s">
        <v>19</v>
      </c>
      <c r="C6" s="65">
        <v>44322.99</v>
      </c>
      <c r="D6" s="66">
        <v>37399.46</v>
      </c>
      <c r="E6" s="107">
        <v>44579.05</v>
      </c>
      <c r="F6" s="19">
        <v>49792.05</v>
      </c>
      <c r="G6" s="19">
        <v>50146.21</v>
      </c>
      <c r="H6" s="19">
        <v>52921.1</v>
      </c>
      <c r="I6" s="19">
        <v>51664.63</v>
      </c>
      <c r="J6" s="19">
        <v>43303.96</v>
      </c>
      <c r="K6" s="19">
        <v>43619.27</v>
      </c>
      <c r="L6" s="19">
        <v>44882.58</v>
      </c>
      <c r="M6" s="19">
        <v>46892.26</v>
      </c>
      <c r="N6" s="43">
        <v>44234.51</v>
      </c>
      <c r="O6" s="68">
        <f>SUM(Tabla3[[#This Row],[Gener]:[Desembre]])</f>
        <v>553758.07000000007</v>
      </c>
    </row>
    <row r="7" spans="1:15" x14ac:dyDescent="0.25">
      <c r="A7" s="16">
        <v>4</v>
      </c>
      <c r="B7" s="106" t="s">
        <v>20</v>
      </c>
      <c r="C7" s="65">
        <v>1248.54</v>
      </c>
      <c r="D7" s="66">
        <v>1548.35</v>
      </c>
      <c r="E7" s="107">
        <v>1176.51</v>
      </c>
      <c r="F7" s="19">
        <v>1549.29</v>
      </c>
      <c r="G7" s="19">
        <v>1194.76</v>
      </c>
      <c r="H7" s="19">
        <v>1249.8599999999999</v>
      </c>
      <c r="I7" s="19">
        <v>1577.14</v>
      </c>
      <c r="J7" s="19">
        <v>2093.94</v>
      </c>
      <c r="K7" s="19">
        <v>1878.32</v>
      </c>
      <c r="L7" s="19">
        <v>1452.02</v>
      </c>
      <c r="M7" s="19">
        <v>1070.93</v>
      </c>
      <c r="N7" s="43">
        <v>1819.32</v>
      </c>
      <c r="O7" s="68">
        <f>SUM(Tabla3[[#This Row],[Gener]:[Desembre]])</f>
        <v>17858.98</v>
      </c>
    </row>
    <row r="8" spans="1:15" x14ac:dyDescent="0.25">
      <c r="A8" s="16">
        <v>5</v>
      </c>
      <c r="B8" s="106" t="s">
        <v>21</v>
      </c>
      <c r="C8" s="65">
        <v>16961.93</v>
      </c>
      <c r="D8" s="66">
        <v>13963.17</v>
      </c>
      <c r="E8" s="107">
        <v>16795.55</v>
      </c>
      <c r="F8" s="19">
        <v>18914.53</v>
      </c>
      <c r="G8" s="19">
        <v>16679.52</v>
      </c>
      <c r="H8" s="19">
        <v>18433.52</v>
      </c>
      <c r="I8" s="19">
        <v>19223.989999999998</v>
      </c>
      <c r="J8" s="19">
        <v>13600</v>
      </c>
      <c r="K8" s="19">
        <v>17740</v>
      </c>
      <c r="L8" s="19">
        <v>18240</v>
      </c>
      <c r="M8" s="19">
        <v>15780</v>
      </c>
      <c r="N8" s="43">
        <v>19180</v>
      </c>
      <c r="O8" s="68">
        <f>SUM(Tabla3[[#This Row],[Gener]:[Desembre]])</f>
        <v>205512.21</v>
      </c>
    </row>
    <row r="9" spans="1:15" x14ac:dyDescent="0.25">
      <c r="A9" s="16">
        <v>6</v>
      </c>
      <c r="B9" s="106" t="s">
        <v>22</v>
      </c>
      <c r="C9" s="65">
        <v>28687.21</v>
      </c>
      <c r="D9" s="66">
        <v>26948.41</v>
      </c>
      <c r="E9" s="107">
        <v>31412.78</v>
      </c>
      <c r="F9" s="19">
        <v>30301.27</v>
      </c>
      <c r="G9" s="19">
        <v>34923.72</v>
      </c>
      <c r="H9" s="19">
        <v>34124.17</v>
      </c>
      <c r="I9" s="19">
        <v>33601</v>
      </c>
      <c r="J9" s="19">
        <v>31228.23</v>
      </c>
      <c r="K9" s="19">
        <v>30834.240000000002</v>
      </c>
      <c r="L9" s="19">
        <v>32187.19</v>
      </c>
      <c r="M9" s="19">
        <v>33529.47</v>
      </c>
      <c r="N9" s="43">
        <v>32947.42</v>
      </c>
      <c r="O9" s="68">
        <f>SUM(Tabla3[[#This Row],[Gener]:[Desembre]])</f>
        <v>380725.11000000004</v>
      </c>
    </row>
    <row r="10" spans="1:15" x14ac:dyDescent="0.25">
      <c r="A10" s="16">
        <v>8</v>
      </c>
      <c r="B10" s="106" t="s">
        <v>23</v>
      </c>
      <c r="C10" s="65">
        <v>2264.29</v>
      </c>
      <c r="D10" s="66">
        <v>2504.81</v>
      </c>
      <c r="E10" s="107">
        <v>1770.12</v>
      </c>
      <c r="F10" s="108">
        <v>2588.0500000000002</v>
      </c>
      <c r="G10" s="108">
        <v>1890.55</v>
      </c>
      <c r="H10" s="108">
        <v>2504.63</v>
      </c>
      <c r="I10" s="108">
        <v>4221.91</v>
      </c>
      <c r="J10" s="108">
        <v>3780.53</v>
      </c>
      <c r="K10" s="108">
        <v>3354.12</v>
      </c>
      <c r="L10" s="108">
        <v>2345.29</v>
      </c>
      <c r="M10" s="108">
        <v>1785.52</v>
      </c>
      <c r="N10" s="109">
        <v>2759.56</v>
      </c>
      <c r="O10" s="68">
        <f>SUM(Tabla3[[#This Row],[Gener]:[Desembre]])</f>
        <v>31769.38</v>
      </c>
    </row>
    <row r="11" spans="1:15" x14ac:dyDescent="0.25">
      <c r="A11" s="16">
        <v>9</v>
      </c>
      <c r="B11" s="106" t="s">
        <v>24</v>
      </c>
      <c r="C11" s="65">
        <v>0</v>
      </c>
      <c r="D11" s="66">
        <v>0</v>
      </c>
      <c r="E11" s="107">
        <v>0</v>
      </c>
      <c r="F11" s="19"/>
      <c r="G11" s="19"/>
      <c r="H11" s="19"/>
      <c r="I11" s="19"/>
      <c r="J11" s="19"/>
      <c r="K11" s="19"/>
      <c r="L11" s="19">
        <v>0</v>
      </c>
      <c r="M11" s="19"/>
      <c r="N11" s="43"/>
      <c r="O11" s="68">
        <f>SUM(Tabla3[[#This Row],[Gener]:[Desembre]])</f>
        <v>0</v>
      </c>
    </row>
    <row r="12" spans="1:15" x14ac:dyDescent="0.25">
      <c r="A12" s="16">
        <v>10</v>
      </c>
      <c r="B12" s="106" t="s">
        <v>25</v>
      </c>
      <c r="C12" s="65">
        <f>27017.32+380</f>
        <v>27397.32</v>
      </c>
      <c r="D12" s="66">
        <v>23693.71</v>
      </c>
      <c r="E12" s="107">
        <v>27066.39</v>
      </c>
      <c r="F12" s="19">
        <v>31029.62</v>
      </c>
      <c r="G12" s="19">
        <v>27407.66</v>
      </c>
      <c r="H12" s="19">
        <v>29291.61</v>
      </c>
      <c r="I12" s="19">
        <v>29454.17</v>
      </c>
      <c r="J12" s="19">
        <v>24942.18</v>
      </c>
      <c r="K12" s="19">
        <v>27170.66</v>
      </c>
      <c r="L12" s="19">
        <v>27148.13</v>
      </c>
      <c r="M12" s="19">
        <v>29359.33</v>
      </c>
      <c r="N12" s="43">
        <v>26151.11</v>
      </c>
      <c r="O12" s="68">
        <f>SUM(Tabla3[[#This Row],[Gener]:[Desembre]])</f>
        <v>330111.88999999996</v>
      </c>
    </row>
    <row r="13" spans="1:15" x14ac:dyDescent="0.25">
      <c r="A13" s="16">
        <v>11</v>
      </c>
      <c r="B13" s="106" t="s">
        <v>26</v>
      </c>
      <c r="C13" s="65">
        <f>42522.51+2760+50080</f>
        <v>95362.510000000009</v>
      </c>
      <c r="D13" s="66">
        <v>84865.540000000008</v>
      </c>
      <c r="E13" s="107">
        <v>91101.440000000002</v>
      </c>
      <c r="F13" s="19">
        <f>10793.79+260+81100</f>
        <v>92153.790000000008</v>
      </c>
      <c r="G13" s="19">
        <v>95879.15</v>
      </c>
      <c r="H13" s="19">
        <v>95339.54</v>
      </c>
      <c r="I13" s="19">
        <v>91556.160000000003</v>
      </c>
      <c r="J13" s="19">
        <v>83441.8</v>
      </c>
      <c r="K13" s="19">
        <v>89703.4</v>
      </c>
      <c r="L13" s="19">
        <v>100108.79</v>
      </c>
      <c r="M13" s="19">
        <f>4811.74+2580+87300</f>
        <v>94691.74</v>
      </c>
      <c r="N13" s="43">
        <v>100570.74</v>
      </c>
      <c r="O13" s="68">
        <f>SUM(Tabla3[[#This Row],[Gener]:[Desembre]])</f>
        <v>1114774.6000000003</v>
      </c>
    </row>
    <row r="14" spans="1:15" x14ac:dyDescent="0.25">
      <c r="A14" s="16">
        <v>12</v>
      </c>
      <c r="B14" s="106" t="s">
        <v>27</v>
      </c>
      <c r="C14" s="65">
        <v>2803.72</v>
      </c>
      <c r="D14" s="66">
        <v>3585.57</v>
      </c>
      <c r="E14" s="107">
        <v>3937.96</v>
      </c>
      <c r="F14" s="19">
        <v>3543.69</v>
      </c>
      <c r="G14" s="19">
        <v>2968.22</v>
      </c>
      <c r="H14" s="19">
        <v>4888.1499999999996</v>
      </c>
      <c r="I14" s="19">
        <v>3730.59</v>
      </c>
      <c r="J14" s="19">
        <v>3425.48</v>
      </c>
      <c r="K14" s="19">
        <v>4201.5600000000004</v>
      </c>
      <c r="L14" s="19">
        <v>3462.77</v>
      </c>
      <c r="M14" s="19">
        <v>2788.66</v>
      </c>
      <c r="N14" s="43">
        <v>3943.81</v>
      </c>
      <c r="O14" s="68">
        <f>SUM(Tabla3[[#This Row],[Gener]:[Desembre]])</f>
        <v>43280.179999999993</v>
      </c>
    </row>
    <row r="15" spans="1:15" x14ac:dyDescent="0.25">
      <c r="A15" s="16">
        <v>13</v>
      </c>
      <c r="B15" s="106" t="s">
        <v>28</v>
      </c>
      <c r="C15" s="65">
        <v>16757.2</v>
      </c>
      <c r="D15" s="66">
        <v>15613.4</v>
      </c>
      <c r="E15" s="107">
        <v>16040</v>
      </c>
      <c r="F15" s="19">
        <f>1860+16840</f>
        <v>18700</v>
      </c>
      <c r="G15" s="19">
        <v>16940</v>
      </c>
      <c r="H15" s="19">
        <v>17620</v>
      </c>
      <c r="I15" s="19">
        <v>17059.09</v>
      </c>
      <c r="J15" s="19">
        <v>14753.53</v>
      </c>
      <c r="K15" s="19">
        <v>16974.48</v>
      </c>
      <c r="L15" s="19">
        <v>17808.400000000001</v>
      </c>
      <c r="M15" s="19">
        <v>16442.05</v>
      </c>
      <c r="N15" s="43">
        <v>21394.92</v>
      </c>
      <c r="O15" s="68">
        <f>SUM(Tabla3[[#This Row],[Gener]:[Desembre]])</f>
        <v>206103.07</v>
      </c>
    </row>
    <row r="16" spans="1:15" x14ac:dyDescent="0.25">
      <c r="A16" s="16">
        <v>14</v>
      </c>
      <c r="B16" s="106" t="s">
        <v>29</v>
      </c>
      <c r="C16" s="65">
        <v>0</v>
      </c>
      <c r="D16" s="66">
        <v>0</v>
      </c>
      <c r="E16" s="107">
        <v>0</v>
      </c>
      <c r="F16" s="19"/>
      <c r="G16" s="19"/>
      <c r="H16" s="19"/>
      <c r="I16" s="19"/>
      <c r="J16" s="19"/>
      <c r="K16" s="19"/>
      <c r="L16" s="19">
        <v>0</v>
      </c>
      <c r="M16" s="19"/>
      <c r="N16" s="43"/>
      <c r="O16" s="68">
        <f>SUM(Tabla3[[#This Row],[Gener]:[Desembre]])</f>
        <v>0</v>
      </c>
    </row>
    <row r="17" spans="1:15" x14ac:dyDescent="0.25">
      <c r="A17" s="16">
        <v>15</v>
      </c>
      <c r="B17" s="106" t="s">
        <v>30</v>
      </c>
      <c r="C17" s="65">
        <v>29931.96</v>
      </c>
      <c r="D17" s="66">
        <v>24717.13</v>
      </c>
      <c r="E17" s="107">
        <v>23802.75</v>
      </c>
      <c r="F17" s="19">
        <v>34054.800000000003</v>
      </c>
      <c r="G17" s="19">
        <v>29676.6</v>
      </c>
      <c r="H17" s="19">
        <v>28304.14</v>
      </c>
      <c r="I17" s="19">
        <v>34066.449999999997</v>
      </c>
      <c r="J17" s="19">
        <v>22599.82</v>
      </c>
      <c r="K17" s="19">
        <v>26091.439999999999</v>
      </c>
      <c r="L17" s="19">
        <v>33298.47</v>
      </c>
      <c r="M17" s="19">
        <v>27302.9</v>
      </c>
      <c r="N17" s="43">
        <v>31674.83</v>
      </c>
      <c r="O17" s="68">
        <f>SUM(Tabla3[[#This Row],[Gener]:[Desembre]])</f>
        <v>345521.2900000001</v>
      </c>
    </row>
    <row r="18" spans="1:15" x14ac:dyDescent="0.25">
      <c r="A18" s="16">
        <v>16</v>
      </c>
      <c r="B18" s="106" t="s">
        <v>31</v>
      </c>
      <c r="C18" s="65">
        <v>0</v>
      </c>
      <c r="D18" s="66">
        <v>0</v>
      </c>
      <c r="E18" s="107">
        <v>0</v>
      </c>
      <c r="F18" s="19"/>
      <c r="G18" s="19"/>
      <c r="H18" s="19"/>
      <c r="I18" s="19"/>
      <c r="J18" s="19"/>
      <c r="K18" s="19"/>
      <c r="L18" s="19">
        <v>0</v>
      </c>
      <c r="M18" s="19"/>
      <c r="N18" s="43"/>
      <c r="O18" s="68">
        <f>SUM(Tabla3[[#This Row],[Gener]:[Desembre]])</f>
        <v>0</v>
      </c>
    </row>
    <row r="19" spans="1:15" x14ac:dyDescent="0.25">
      <c r="A19" s="16">
        <v>17</v>
      </c>
      <c r="B19" s="106" t="s">
        <v>32</v>
      </c>
      <c r="C19" s="65">
        <f>18381.34+980+2400</f>
        <v>21761.34</v>
      </c>
      <c r="D19" s="66">
        <v>19601.2</v>
      </c>
      <c r="E19" s="107">
        <v>20656.03</v>
      </c>
      <c r="F19" s="19">
        <f>20257.8+2640</f>
        <v>22897.8</v>
      </c>
      <c r="G19" s="19">
        <v>24677.51</v>
      </c>
      <c r="H19" s="19">
        <v>23928.22</v>
      </c>
      <c r="I19" s="19">
        <v>20793.71</v>
      </c>
      <c r="J19" s="19">
        <v>21431.65</v>
      </c>
      <c r="K19" s="19">
        <v>20686.099999999999</v>
      </c>
      <c r="L19" s="19">
        <v>21633.96</v>
      </c>
      <c r="M19" s="19">
        <f>21150.56+2580</f>
        <v>23730.560000000001</v>
      </c>
      <c r="N19" s="43">
        <v>22059.66</v>
      </c>
      <c r="O19" s="68">
        <f>SUM(Tabla3[[#This Row],[Gener]:[Desembre]])</f>
        <v>263857.73999999993</v>
      </c>
    </row>
    <row r="20" spans="1:15" x14ac:dyDescent="0.25">
      <c r="A20" s="16">
        <v>18</v>
      </c>
      <c r="B20" s="106" t="s">
        <v>33</v>
      </c>
      <c r="C20" s="65">
        <f>15855.41+69140</f>
        <v>84995.41</v>
      </c>
      <c r="D20" s="66">
        <v>73484.479999999996</v>
      </c>
      <c r="E20" s="107">
        <v>83321.39</v>
      </c>
      <c r="F20" s="19">
        <f>14676.57+72680</f>
        <v>87356.57</v>
      </c>
      <c r="G20" s="19">
        <v>87624.24</v>
      </c>
      <c r="H20" s="19">
        <v>91934.93</v>
      </c>
      <c r="I20" s="19">
        <v>85688.790000000008</v>
      </c>
      <c r="J20" s="19">
        <v>79546.12</v>
      </c>
      <c r="K20" s="19">
        <v>85206.32</v>
      </c>
      <c r="L20" s="19">
        <v>87572.74</v>
      </c>
      <c r="M20" s="19">
        <f>16437.29+74557.95</f>
        <v>90995.239999999991</v>
      </c>
      <c r="N20" s="43">
        <v>98069.05</v>
      </c>
      <c r="O20" s="68">
        <f>SUM(Tabla3[[#This Row],[Gener]:[Desembre]])</f>
        <v>1035795.28</v>
      </c>
    </row>
    <row r="21" spans="1:15" x14ac:dyDescent="0.25">
      <c r="A21" s="16">
        <v>19</v>
      </c>
      <c r="B21" s="106" t="s">
        <v>34</v>
      </c>
      <c r="C21" s="65">
        <f>15100+729.57</f>
        <v>15829.57</v>
      </c>
      <c r="D21" s="66">
        <v>12425.65</v>
      </c>
      <c r="E21" s="107">
        <v>14657.52</v>
      </c>
      <c r="F21" s="19">
        <f>12120+1092.69</f>
        <v>13212.69</v>
      </c>
      <c r="G21" s="19">
        <v>14159.1</v>
      </c>
      <c r="H21" s="19">
        <v>15234.4</v>
      </c>
      <c r="I21" s="19">
        <v>13771.23</v>
      </c>
      <c r="J21" s="19">
        <v>11003.22</v>
      </c>
      <c r="K21" s="19">
        <v>13526.35</v>
      </c>
      <c r="L21" s="19">
        <v>13825.15</v>
      </c>
      <c r="M21" s="19">
        <f>11860+966.35</f>
        <v>12826.35</v>
      </c>
      <c r="N21" s="43">
        <v>15855.27</v>
      </c>
      <c r="O21" s="68">
        <f>SUM(Tabla3[[#This Row],[Gener]:[Desembre]])</f>
        <v>166326.5</v>
      </c>
    </row>
    <row r="22" spans="1:15" x14ac:dyDescent="0.25">
      <c r="A22" s="16">
        <v>20</v>
      </c>
      <c r="B22" s="106" t="s">
        <v>35</v>
      </c>
      <c r="C22" s="65">
        <v>0</v>
      </c>
      <c r="D22" s="66">
        <v>0</v>
      </c>
      <c r="E22" s="107">
        <v>0</v>
      </c>
      <c r="F22" s="19"/>
      <c r="G22" s="19"/>
      <c r="H22" s="19"/>
      <c r="I22" s="19"/>
      <c r="J22" s="19"/>
      <c r="K22" s="19"/>
      <c r="L22" s="19">
        <v>0</v>
      </c>
      <c r="M22" s="19"/>
      <c r="N22" s="43"/>
      <c r="O22" s="68">
        <f>SUM(Tabla3[[#This Row],[Gener]:[Desembre]])</f>
        <v>0</v>
      </c>
    </row>
    <row r="23" spans="1:15" x14ac:dyDescent="0.25">
      <c r="A23" s="16">
        <v>21</v>
      </c>
      <c r="B23" s="106" t="s">
        <v>36</v>
      </c>
      <c r="C23" s="65">
        <v>731.65</v>
      </c>
      <c r="D23" s="66">
        <v>1000.09</v>
      </c>
      <c r="E23" s="107">
        <v>928.05</v>
      </c>
      <c r="F23" s="19">
        <v>1540.02</v>
      </c>
      <c r="G23" s="19">
        <v>1023.37</v>
      </c>
      <c r="H23" s="19">
        <v>1310.76</v>
      </c>
      <c r="I23" s="19">
        <v>2547.09</v>
      </c>
      <c r="J23" s="19">
        <v>2207.58</v>
      </c>
      <c r="K23" s="19">
        <v>1630.05</v>
      </c>
      <c r="L23" s="19">
        <v>1133.4100000000001</v>
      </c>
      <c r="M23" s="19">
        <v>985.56</v>
      </c>
      <c r="N23" s="43">
        <v>1266.68</v>
      </c>
      <c r="O23" s="68">
        <f>SUM(Tabla3[[#This Row],[Gener]:[Desembre]])</f>
        <v>16304.309999999998</v>
      </c>
    </row>
    <row r="24" spans="1:15" x14ac:dyDescent="0.25">
      <c r="A24" s="16">
        <v>22</v>
      </c>
      <c r="B24" s="106" t="s">
        <v>37</v>
      </c>
      <c r="C24" s="65">
        <f>26593.01+280</f>
        <v>26873.01</v>
      </c>
      <c r="D24" s="66">
        <v>22163.99</v>
      </c>
      <c r="E24" s="107">
        <v>25097.63</v>
      </c>
      <c r="F24" s="19">
        <v>28224.51</v>
      </c>
      <c r="G24" s="19">
        <v>27493.09</v>
      </c>
      <c r="H24" s="19">
        <v>30984.44</v>
      </c>
      <c r="I24" s="19">
        <v>27694.93</v>
      </c>
      <c r="J24" s="19">
        <v>24976.93</v>
      </c>
      <c r="K24" s="19">
        <v>25128.6</v>
      </c>
      <c r="L24" s="19">
        <v>26895.59</v>
      </c>
      <c r="M24" s="19">
        <f>8097.75+20480</f>
        <v>28577.75</v>
      </c>
      <c r="N24" s="43">
        <v>26799.13</v>
      </c>
      <c r="O24" s="68">
        <f>SUM(Tabla3[[#This Row],[Gener]:[Desembre]])</f>
        <v>320909.59999999998</v>
      </c>
    </row>
    <row r="25" spans="1:15" x14ac:dyDescent="0.25">
      <c r="A25" s="16">
        <v>23</v>
      </c>
      <c r="B25" s="106" t="s">
        <v>38</v>
      </c>
      <c r="C25" s="65">
        <v>12640.55</v>
      </c>
      <c r="D25" s="66">
        <v>10876.91</v>
      </c>
      <c r="E25" s="107">
        <v>15532.91</v>
      </c>
      <c r="F25" s="19">
        <v>17144.740000000002</v>
      </c>
      <c r="G25" s="19">
        <v>14318.92</v>
      </c>
      <c r="H25" s="19">
        <v>15124.63</v>
      </c>
      <c r="I25" s="19">
        <v>13943.28</v>
      </c>
      <c r="J25" s="19">
        <v>13188.18</v>
      </c>
      <c r="K25" s="19">
        <v>11810.62</v>
      </c>
      <c r="L25" s="19">
        <v>14436.97</v>
      </c>
      <c r="M25" s="19">
        <f>12906.8+920</f>
        <v>13826.8</v>
      </c>
      <c r="N25" s="43">
        <v>16400</v>
      </c>
      <c r="O25" s="68">
        <f>SUM(Tabla3[[#This Row],[Gener]:[Desembre]])</f>
        <v>169244.50999999998</v>
      </c>
    </row>
    <row r="26" spans="1:15" x14ac:dyDescent="0.25">
      <c r="A26" s="16">
        <v>24</v>
      </c>
      <c r="B26" s="106" t="s">
        <v>39</v>
      </c>
      <c r="C26" s="65">
        <f>716.37+14100</f>
        <v>14816.37</v>
      </c>
      <c r="D26" s="66">
        <v>14459.97</v>
      </c>
      <c r="E26" s="107">
        <v>15143.89</v>
      </c>
      <c r="F26" s="19">
        <f>595.49+15880</f>
        <v>16475.490000000002</v>
      </c>
      <c r="G26" s="19">
        <v>18280.16</v>
      </c>
      <c r="H26" s="19">
        <v>17366.84</v>
      </c>
      <c r="I26" s="19">
        <v>16861.580000000002</v>
      </c>
      <c r="J26" s="19">
        <v>19463.330000000002</v>
      </c>
      <c r="K26" s="19">
        <v>16772.95</v>
      </c>
      <c r="L26" s="19">
        <v>17074.599999999999</v>
      </c>
      <c r="M26" s="19">
        <f>886.59+14420</f>
        <v>15306.59</v>
      </c>
      <c r="N26" s="43">
        <v>16851.830000000002</v>
      </c>
      <c r="O26" s="68">
        <f>SUM(Tabla3[[#This Row],[Gener]:[Desembre]])</f>
        <v>198873.60000000003</v>
      </c>
    </row>
    <row r="27" spans="1:15" x14ac:dyDescent="0.25">
      <c r="A27" s="16">
        <v>25</v>
      </c>
      <c r="B27" s="106" t="s">
        <v>40</v>
      </c>
      <c r="C27" s="65">
        <v>32471.39</v>
      </c>
      <c r="D27" s="66">
        <v>26233.360000000001</v>
      </c>
      <c r="E27" s="107">
        <v>31307.86</v>
      </c>
      <c r="F27" s="19">
        <v>32327.68</v>
      </c>
      <c r="G27" s="19">
        <v>30746.29</v>
      </c>
      <c r="H27" s="19">
        <v>34623.14</v>
      </c>
      <c r="I27" s="19">
        <v>31390.33</v>
      </c>
      <c r="J27" s="19">
        <v>25838.12</v>
      </c>
      <c r="K27" s="19">
        <v>34958.71</v>
      </c>
      <c r="L27" s="19">
        <v>31918.39</v>
      </c>
      <c r="M27" s="19">
        <v>29132.84</v>
      </c>
      <c r="N27" s="43">
        <v>35241.68</v>
      </c>
      <c r="O27" s="68">
        <f>SUM(Tabla3[[#This Row],[Gener]:[Desembre]])</f>
        <v>376189.7900000001</v>
      </c>
    </row>
    <row r="28" spans="1:15" x14ac:dyDescent="0.25">
      <c r="A28" s="16">
        <v>26</v>
      </c>
      <c r="B28" s="106" t="s">
        <v>41</v>
      </c>
      <c r="C28" s="65">
        <v>7260</v>
      </c>
      <c r="D28" s="66">
        <v>6560</v>
      </c>
      <c r="E28" s="107">
        <v>7840</v>
      </c>
      <c r="F28" s="19">
        <v>7060</v>
      </c>
      <c r="G28" s="19">
        <v>8540</v>
      </c>
      <c r="H28" s="19">
        <v>9040</v>
      </c>
      <c r="I28" s="19">
        <v>9280</v>
      </c>
      <c r="J28" s="19">
        <v>8500</v>
      </c>
      <c r="K28" s="19">
        <v>7700</v>
      </c>
      <c r="L28" s="19">
        <v>7960</v>
      </c>
      <c r="M28" s="19">
        <v>8200</v>
      </c>
      <c r="N28" s="43">
        <v>7620</v>
      </c>
      <c r="O28" s="68">
        <f>SUM(Tabla3[[#This Row],[Gener]:[Desembre]])</f>
        <v>95560</v>
      </c>
    </row>
    <row r="29" spans="1:15" x14ac:dyDescent="0.25">
      <c r="A29" s="16">
        <v>27</v>
      </c>
      <c r="B29" s="106" t="s">
        <v>42</v>
      </c>
      <c r="C29" s="65">
        <v>0</v>
      </c>
      <c r="D29" s="66">
        <v>0</v>
      </c>
      <c r="E29" s="107">
        <v>0</v>
      </c>
      <c r="F29" s="19"/>
      <c r="G29" s="19"/>
      <c r="H29" s="19"/>
      <c r="I29" s="19"/>
      <c r="J29" s="19"/>
      <c r="K29" s="19"/>
      <c r="L29" s="19">
        <v>0</v>
      </c>
      <c r="M29" s="19"/>
      <c r="N29" s="43"/>
      <c r="O29" s="68">
        <f>SUM(Tabla3[[#This Row],[Gener]:[Desembre]])</f>
        <v>0</v>
      </c>
    </row>
    <row r="30" spans="1:15" x14ac:dyDescent="0.25">
      <c r="A30" s="16">
        <v>28</v>
      </c>
      <c r="B30" s="106" t="s">
        <v>43</v>
      </c>
      <c r="C30" s="65">
        <v>12791.8</v>
      </c>
      <c r="D30" s="66">
        <v>12810.29</v>
      </c>
      <c r="E30" s="107">
        <v>15916.66</v>
      </c>
      <c r="F30" s="19">
        <v>16092.61</v>
      </c>
      <c r="G30" s="19">
        <v>14982.48</v>
      </c>
      <c r="H30" s="19">
        <v>17747.169999999998</v>
      </c>
      <c r="I30" s="19">
        <v>15602.06</v>
      </c>
      <c r="J30" s="19">
        <v>14881.99</v>
      </c>
      <c r="K30" s="19">
        <v>13144.66</v>
      </c>
      <c r="L30" s="19">
        <v>14938.52</v>
      </c>
      <c r="M30" s="19">
        <v>15059.18</v>
      </c>
      <c r="N30" s="43">
        <v>16054.07</v>
      </c>
      <c r="O30" s="68">
        <f>SUM(Tabla3[[#This Row],[Gener]:[Desembre]])</f>
        <v>180021.49</v>
      </c>
    </row>
    <row r="31" spans="1:15" x14ac:dyDescent="0.25">
      <c r="A31" s="16">
        <v>29</v>
      </c>
      <c r="B31" s="106" t="s">
        <v>44</v>
      </c>
      <c r="C31" s="65">
        <v>135.52000000000001</v>
      </c>
      <c r="D31" s="66">
        <v>160.69</v>
      </c>
      <c r="E31" s="107">
        <v>127.64</v>
      </c>
      <c r="F31" s="19">
        <v>182.65</v>
      </c>
      <c r="G31" s="19">
        <v>271.33</v>
      </c>
      <c r="H31" s="19">
        <v>254.76</v>
      </c>
      <c r="I31" s="19">
        <v>493.86</v>
      </c>
      <c r="J31" s="19">
        <v>397.95</v>
      </c>
      <c r="K31" s="19">
        <v>377.51</v>
      </c>
      <c r="L31" s="19">
        <v>312.24</v>
      </c>
      <c r="M31" s="19">
        <v>237.99</v>
      </c>
      <c r="N31" s="43">
        <v>354.44</v>
      </c>
      <c r="O31" s="68">
        <f>SUM(Tabla3[[#This Row],[Gener]:[Desembre]])</f>
        <v>3306.5799999999995</v>
      </c>
    </row>
    <row r="32" spans="1:15" x14ac:dyDescent="0.25">
      <c r="A32" s="16">
        <v>30</v>
      </c>
      <c r="B32" s="106" t="s">
        <v>45</v>
      </c>
      <c r="C32" s="65">
        <v>22880</v>
      </c>
      <c r="D32" s="66">
        <v>19920</v>
      </c>
      <c r="E32" s="107">
        <v>24460</v>
      </c>
      <c r="F32" s="19">
        <v>23860</v>
      </c>
      <c r="G32" s="19">
        <v>27860</v>
      </c>
      <c r="H32" s="19">
        <v>27640</v>
      </c>
      <c r="I32" s="19">
        <v>27200</v>
      </c>
      <c r="J32" s="19">
        <v>25260</v>
      </c>
      <c r="K32" s="19">
        <v>24380</v>
      </c>
      <c r="L32" s="19">
        <v>24800</v>
      </c>
      <c r="M32" s="19">
        <v>25800</v>
      </c>
      <c r="N32" s="43">
        <v>21460</v>
      </c>
      <c r="O32" s="68">
        <f>SUM(Tabla3[[#This Row],[Gener]:[Desembre]])</f>
        <v>295520</v>
      </c>
    </row>
    <row r="33" spans="1:17" x14ac:dyDescent="0.25">
      <c r="A33" s="16">
        <v>31</v>
      </c>
      <c r="B33" s="106" t="s">
        <v>46</v>
      </c>
      <c r="C33" s="65">
        <v>3027.28</v>
      </c>
      <c r="D33" s="66">
        <v>4937.53</v>
      </c>
      <c r="E33" s="107">
        <v>3378.01</v>
      </c>
      <c r="F33" s="19">
        <v>3240.18</v>
      </c>
      <c r="G33" s="19">
        <v>4027.34</v>
      </c>
      <c r="H33" s="19">
        <v>4618.7</v>
      </c>
      <c r="I33" s="19">
        <v>3075.07</v>
      </c>
      <c r="J33" s="19">
        <v>3409.04</v>
      </c>
      <c r="K33" s="19">
        <v>3193.01</v>
      </c>
      <c r="L33" s="19">
        <v>3221.95</v>
      </c>
      <c r="M33" s="19">
        <v>3318.26</v>
      </c>
      <c r="N33" s="43">
        <v>3758.78</v>
      </c>
      <c r="O33" s="68">
        <f>SUM(Tabla3[[#This Row],[Gener]:[Desembre]])</f>
        <v>43205.15</v>
      </c>
    </row>
    <row r="34" spans="1:17" x14ac:dyDescent="0.25">
      <c r="A34" s="16">
        <v>32</v>
      </c>
      <c r="B34" s="106" t="s">
        <v>47</v>
      </c>
      <c r="C34" s="65">
        <v>17510.37</v>
      </c>
      <c r="D34" s="66">
        <v>13446.36</v>
      </c>
      <c r="E34" s="107">
        <v>18452.34</v>
      </c>
      <c r="F34" s="19">
        <v>17419.22</v>
      </c>
      <c r="G34" s="19">
        <v>17916.21</v>
      </c>
      <c r="H34" s="19">
        <v>19876.88</v>
      </c>
      <c r="I34" s="19">
        <v>21132.82</v>
      </c>
      <c r="J34" s="19">
        <v>19786.68</v>
      </c>
      <c r="K34" s="19">
        <v>19395.689999999999</v>
      </c>
      <c r="L34" s="19">
        <v>17414.189999999999</v>
      </c>
      <c r="M34" s="19">
        <v>16528.86</v>
      </c>
      <c r="N34" s="43">
        <v>20292.52</v>
      </c>
      <c r="O34" s="68">
        <f>SUM(Tabla3[[#This Row],[Gener]:[Desembre]])</f>
        <v>219172.13999999998</v>
      </c>
      <c r="Q34" s="52"/>
    </row>
    <row r="35" spans="1:17" x14ac:dyDescent="0.25">
      <c r="A35" s="16">
        <v>33</v>
      </c>
      <c r="B35" s="106" t="s">
        <v>48</v>
      </c>
      <c r="C35" s="65">
        <v>0</v>
      </c>
      <c r="D35" s="66">
        <v>0</v>
      </c>
      <c r="E35" s="107">
        <v>0</v>
      </c>
      <c r="F35" s="19"/>
      <c r="G35" s="19"/>
      <c r="H35" s="19"/>
      <c r="I35" s="19">
        <v>440</v>
      </c>
      <c r="J35" s="19"/>
      <c r="K35" s="19"/>
      <c r="L35" s="19">
        <v>0</v>
      </c>
      <c r="M35" s="19"/>
      <c r="N35" s="43"/>
      <c r="O35" s="68">
        <f>SUM(Tabla3[[#This Row],[Gener]:[Desembre]])</f>
        <v>440</v>
      </c>
    </row>
    <row r="36" spans="1:17" x14ac:dyDescent="0.25">
      <c r="A36" s="16">
        <v>34</v>
      </c>
      <c r="B36" s="106" t="s">
        <v>49</v>
      </c>
      <c r="C36" s="65">
        <v>5274.08</v>
      </c>
      <c r="D36" s="66">
        <v>6071.91</v>
      </c>
      <c r="E36" s="107">
        <v>6926.02</v>
      </c>
      <c r="F36" s="19">
        <v>6436.76</v>
      </c>
      <c r="G36" s="19">
        <v>5492.17</v>
      </c>
      <c r="H36" s="19">
        <v>7161.07</v>
      </c>
      <c r="I36" s="19">
        <v>8414.5300000000007</v>
      </c>
      <c r="J36" s="19">
        <v>5693.6</v>
      </c>
      <c r="K36" s="19">
        <v>6677.93</v>
      </c>
      <c r="L36" s="19">
        <v>5896.48</v>
      </c>
      <c r="M36" s="19">
        <v>5159.34</v>
      </c>
      <c r="N36" s="43">
        <v>8030.4</v>
      </c>
      <c r="O36" s="68">
        <f>SUM(Tabla3[[#This Row],[Gener]:[Desembre]])</f>
        <v>77234.289999999994</v>
      </c>
    </row>
    <row r="37" spans="1:17" x14ac:dyDescent="0.25">
      <c r="A37" s="16">
        <v>35</v>
      </c>
      <c r="B37" s="106" t="s">
        <v>50</v>
      </c>
      <c r="C37" s="65">
        <v>5780.45</v>
      </c>
      <c r="D37" s="66">
        <v>4762.8999999999996</v>
      </c>
      <c r="E37" s="107">
        <v>6604.31</v>
      </c>
      <c r="F37" s="19">
        <v>6750.76</v>
      </c>
      <c r="G37" s="19">
        <v>6971.89</v>
      </c>
      <c r="H37" s="19">
        <v>7295.96</v>
      </c>
      <c r="I37" s="19">
        <v>6053.05</v>
      </c>
      <c r="J37" s="19">
        <v>6141.29</v>
      </c>
      <c r="K37" s="19">
        <v>6281.8</v>
      </c>
      <c r="L37" s="19">
        <v>6465.8</v>
      </c>
      <c r="M37" s="19">
        <v>7674.49</v>
      </c>
      <c r="N37" s="43">
        <v>8507.0300000000007</v>
      </c>
      <c r="O37" s="68">
        <f>SUM(Tabla3[[#This Row],[Gener]:[Desembre]])</f>
        <v>79289.73000000001</v>
      </c>
    </row>
    <row r="38" spans="1:17" x14ac:dyDescent="0.25">
      <c r="A38" s="16">
        <v>36</v>
      </c>
      <c r="B38" s="106" t="s">
        <v>51</v>
      </c>
      <c r="C38" s="65">
        <v>1143.7</v>
      </c>
      <c r="D38" s="66">
        <v>1245.83</v>
      </c>
      <c r="E38" s="107">
        <v>1691.82</v>
      </c>
      <c r="F38" s="19">
        <v>1443.28</v>
      </c>
      <c r="G38" s="19">
        <v>2086.4</v>
      </c>
      <c r="H38" s="19">
        <v>2059.98</v>
      </c>
      <c r="I38" s="19">
        <v>1671.16</v>
      </c>
      <c r="J38" s="19">
        <v>1442.24</v>
      </c>
      <c r="K38" s="19">
        <v>1878.77</v>
      </c>
      <c r="L38" s="19">
        <v>1566.45</v>
      </c>
      <c r="M38" s="19">
        <v>1335.92</v>
      </c>
      <c r="N38" s="43">
        <v>1742.75</v>
      </c>
      <c r="O38" s="68">
        <f>SUM(Tabla3[[#This Row],[Gener]:[Desembre]])</f>
        <v>19308.3</v>
      </c>
    </row>
    <row r="39" spans="1:17" x14ac:dyDescent="0.25">
      <c r="A39" s="16">
        <v>37</v>
      </c>
      <c r="B39" s="106" t="s">
        <v>52</v>
      </c>
      <c r="C39" s="65">
        <v>10166.030000000001</v>
      </c>
      <c r="D39" s="66">
        <v>9784.1</v>
      </c>
      <c r="E39" s="107">
        <v>11107.9</v>
      </c>
      <c r="F39" s="19">
        <v>9478.02</v>
      </c>
      <c r="G39" s="19">
        <v>9221.41</v>
      </c>
      <c r="H39" s="19">
        <v>10086.94</v>
      </c>
      <c r="I39" s="19">
        <v>11811.63</v>
      </c>
      <c r="J39" s="19">
        <v>11693.02</v>
      </c>
      <c r="K39" s="19">
        <v>12752.4</v>
      </c>
      <c r="L39" s="19">
        <v>11609.54</v>
      </c>
      <c r="M39" s="19">
        <v>11708.03</v>
      </c>
      <c r="N39" s="43">
        <v>11119.69</v>
      </c>
      <c r="O39" s="68">
        <f>SUM(Tabla3[[#This Row],[Gener]:[Desembre]])</f>
        <v>130538.71000000002</v>
      </c>
    </row>
    <row r="40" spans="1:17" x14ac:dyDescent="0.25">
      <c r="A40" s="16">
        <v>38</v>
      </c>
      <c r="B40" s="106" t="s">
        <v>53</v>
      </c>
      <c r="C40" s="65">
        <v>2521.29</v>
      </c>
      <c r="D40" s="66">
        <v>2028.2</v>
      </c>
      <c r="E40" s="107">
        <v>1540.92</v>
      </c>
      <c r="F40" s="19">
        <v>2547.63</v>
      </c>
      <c r="G40" s="19">
        <v>1582.48</v>
      </c>
      <c r="H40" s="19">
        <v>2247.96</v>
      </c>
      <c r="I40" s="19">
        <v>3070.4</v>
      </c>
      <c r="J40" s="19">
        <v>2769.65</v>
      </c>
      <c r="K40" s="19">
        <v>3550.74</v>
      </c>
      <c r="L40" s="19">
        <v>2725.54</v>
      </c>
      <c r="M40" s="19">
        <v>1983.28</v>
      </c>
      <c r="N40" s="43">
        <v>3734.16</v>
      </c>
      <c r="O40" s="68">
        <f>SUM(Tabla3[[#This Row],[Gener]:[Desembre]])</f>
        <v>30302.249999999996</v>
      </c>
    </row>
    <row r="41" spans="1:17" x14ac:dyDescent="0.25">
      <c r="A41" s="16">
        <v>39</v>
      </c>
      <c r="B41" s="106" t="s">
        <v>54</v>
      </c>
      <c r="C41" s="65">
        <f>838.76+7480</f>
        <v>8318.76</v>
      </c>
      <c r="D41" s="66">
        <v>7085.43</v>
      </c>
      <c r="E41" s="107">
        <v>8693.6</v>
      </c>
      <c r="F41" s="19">
        <f>886.71+6980</f>
        <v>7866.71</v>
      </c>
      <c r="G41" s="19">
        <v>8934.9599999999991</v>
      </c>
      <c r="H41" s="19">
        <v>9654.4699999999993</v>
      </c>
      <c r="I41" s="19">
        <v>9748.57</v>
      </c>
      <c r="J41" s="19">
        <v>9478.4699999999993</v>
      </c>
      <c r="K41" s="19">
        <v>8308.94</v>
      </c>
      <c r="L41" s="19">
        <v>9564.619999999999</v>
      </c>
      <c r="M41" s="19">
        <f>1342.78+7980</f>
        <v>9322.7800000000007</v>
      </c>
      <c r="N41" s="43">
        <v>8265.9599999999991</v>
      </c>
      <c r="O41" s="68">
        <f>SUM(Tabla3[[#This Row],[Gener]:[Desembre]])</f>
        <v>105243.26999999999</v>
      </c>
    </row>
    <row r="42" spans="1:17" x14ac:dyDescent="0.25">
      <c r="A42" s="16">
        <v>40</v>
      </c>
      <c r="B42" s="106" t="s">
        <v>55</v>
      </c>
      <c r="C42" s="65">
        <v>308.44</v>
      </c>
      <c r="D42" s="66">
        <v>249.72</v>
      </c>
      <c r="E42" s="107">
        <v>302.58</v>
      </c>
      <c r="F42" s="19">
        <v>284.24</v>
      </c>
      <c r="G42" s="19">
        <v>319.89</v>
      </c>
      <c r="H42" s="19">
        <v>196.04</v>
      </c>
      <c r="I42" s="19">
        <v>525.71</v>
      </c>
      <c r="J42" s="19">
        <v>422.99</v>
      </c>
      <c r="K42" s="19">
        <v>422.81</v>
      </c>
      <c r="L42" s="19">
        <v>289.66000000000003</v>
      </c>
      <c r="M42" s="19">
        <v>154.29</v>
      </c>
      <c r="N42" s="43">
        <v>444.5</v>
      </c>
      <c r="O42" s="68">
        <f>SUM(Tabla3[[#This Row],[Gener]:[Desembre]])</f>
        <v>3920.8699999999994</v>
      </c>
    </row>
    <row r="43" spans="1:17" s="4" customFormat="1" ht="15.75" thickBot="1" x14ac:dyDescent="0.3">
      <c r="A43" s="27">
        <v>41</v>
      </c>
      <c r="B43" s="110" t="s">
        <v>56</v>
      </c>
      <c r="C43" s="111">
        <v>0</v>
      </c>
      <c r="D43" s="112">
        <v>0</v>
      </c>
      <c r="E43" s="113"/>
      <c r="F43" s="114"/>
      <c r="G43" s="114"/>
      <c r="H43" s="114"/>
      <c r="I43" s="114"/>
      <c r="J43" s="114"/>
      <c r="K43" s="114"/>
      <c r="L43" s="114">
        <v>0</v>
      </c>
      <c r="M43" s="114"/>
      <c r="N43" s="115"/>
      <c r="O43" s="75">
        <f>SUM(Tabla3[[#This Row],[Gener]:[Desembre]])</f>
        <v>0</v>
      </c>
    </row>
    <row r="44" spans="1:17" ht="15.75" thickBot="1" x14ac:dyDescent="0.3">
      <c r="A44" s="116"/>
      <c r="B44" s="117" t="s">
        <v>16</v>
      </c>
      <c r="C44" s="54">
        <f t="shared" ref="C44:L44" si="0">SUBTOTAL(109,C4:C43)</f>
        <v>597449.85999999987</v>
      </c>
      <c r="D44" s="8">
        <f t="shared" si="0"/>
        <v>526267.39999999991</v>
      </c>
      <c r="E44" s="8">
        <f t="shared" si="0"/>
        <v>599738.1399999999</v>
      </c>
      <c r="F44" s="8">
        <f t="shared" si="0"/>
        <v>634469.56000000006</v>
      </c>
      <c r="G44" s="8">
        <f t="shared" si="0"/>
        <v>632673.99999999988</v>
      </c>
      <c r="H44" s="8">
        <f t="shared" si="0"/>
        <v>666724.91999999981</v>
      </c>
      <c r="I44" s="8">
        <f t="shared" si="0"/>
        <v>647125.47000000009</v>
      </c>
      <c r="J44" s="8">
        <f t="shared" si="0"/>
        <v>582707.69000000006</v>
      </c>
      <c r="K44" s="8">
        <f t="shared" si="0"/>
        <v>607231.66999999993</v>
      </c>
      <c r="L44" s="8">
        <f t="shared" si="0"/>
        <v>629693.60999999987</v>
      </c>
      <c r="M44" s="8">
        <f>SUBTOTAL(109,M4:M43)</f>
        <v>620253.68000000017</v>
      </c>
      <c r="N44" s="8">
        <f>SUBTOTAL(109,N4:N43)</f>
        <v>658440.01</v>
      </c>
      <c r="O44" s="56">
        <f>SUBTOTAL(109,O4:O43)</f>
        <v>7402776.0099999988</v>
      </c>
    </row>
    <row r="45" spans="1:17" ht="15.75" thickBot="1" x14ac:dyDescent="0.3">
      <c r="A45" s="114"/>
      <c r="B45" s="118" t="s">
        <v>63</v>
      </c>
      <c r="C45" s="119">
        <v>2330.12</v>
      </c>
      <c r="D45" s="120">
        <v>2192.5700000000002</v>
      </c>
      <c r="E45" s="120">
        <v>1281.8600000000001</v>
      </c>
      <c r="F45" s="120">
        <v>230.42</v>
      </c>
      <c r="G45" s="120">
        <v>1726.02</v>
      </c>
      <c r="H45" s="120">
        <v>3575.1000000000004</v>
      </c>
      <c r="I45" s="120">
        <v>2594.7000000000003</v>
      </c>
      <c r="J45" s="120">
        <v>2972.33</v>
      </c>
      <c r="K45" s="120">
        <v>3068.34</v>
      </c>
      <c r="L45" s="120">
        <v>3246.38</v>
      </c>
      <c r="M45" s="120">
        <v>2126.34</v>
      </c>
      <c r="N45" s="120">
        <v>2980</v>
      </c>
      <c r="O45" s="121">
        <f>SUM(Tabla3[[#This Row],[Gener]:[Desembre]])</f>
        <v>28324.180000000004</v>
      </c>
    </row>
    <row r="46" spans="1:17" ht="15.75" thickBot="1" x14ac:dyDescent="0.3">
      <c r="A46" s="122"/>
      <c r="B46" s="123" t="s">
        <v>57</v>
      </c>
      <c r="C46" s="124">
        <f>C44+C45</f>
        <v>599779.97999999986</v>
      </c>
      <c r="D46" s="125">
        <f>D45+D44</f>
        <v>528459.96999999986</v>
      </c>
      <c r="E46" s="125">
        <f>E45+E44</f>
        <v>601019.99999999988</v>
      </c>
      <c r="F46" s="125">
        <f t="shared" ref="F46:N46" si="1">F45+F44</f>
        <v>634699.9800000001</v>
      </c>
      <c r="G46" s="125">
        <f t="shared" si="1"/>
        <v>634400.0199999999</v>
      </c>
      <c r="H46" s="125">
        <f t="shared" si="1"/>
        <v>670300.01999999979</v>
      </c>
      <c r="I46" s="125">
        <f t="shared" si="1"/>
        <v>649720.17000000004</v>
      </c>
      <c r="J46" s="125">
        <f t="shared" si="1"/>
        <v>585680.02</v>
      </c>
      <c r="K46" s="125">
        <f t="shared" si="1"/>
        <v>610300.00999999989</v>
      </c>
      <c r="L46" s="125">
        <f t="shared" si="1"/>
        <v>632939.98999999987</v>
      </c>
      <c r="M46" s="125">
        <f t="shared" si="1"/>
        <v>622380.02000000014</v>
      </c>
      <c r="N46" s="126">
        <f t="shared" si="1"/>
        <v>661420.01</v>
      </c>
      <c r="O46" s="127">
        <f>SUM(Tabla3[[#This Row],[Gener]:[Desembre]])</f>
        <v>7431100.1900000004</v>
      </c>
    </row>
    <row r="47" spans="1:17" ht="15.75" thickBot="1" x14ac:dyDescent="0.3">
      <c r="A47" s="116"/>
      <c r="B47" s="94" t="s">
        <v>58</v>
      </c>
      <c r="C47" s="95">
        <v>503899.74000000005</v>
      </c>
      <c r="D47" s="96">
        <v>455080.39999999997</v>
      </c>
      <c r="E47" s="96">
        <v>507040.02</v>
      </c>
      <c r="F47" s="96">
        <v>520320</v>
      </c>
      <c r="G47" s="96">
        <v>549739.98</v>
      </c>
      <c r="H47" s="96">
        <v>521619.62999999995</v>
      </c>
      <c r="I47" s="96">
        <v>598525.08000000007</v>
      </c>
      <c r="J47" s="96">
        <v>530639.98999999987</v>
      </c>
      <c r="K47" s="96">
        <v>557359.98999999976</v>
      </c>
      <c r="L47" s="96">
        <v>561707.25999999989</v>
      </c>
      <c r="M47" s="96">
        <v>536439.85800000001</v>
      </c>
      <c r="N47" s="128">
        <v>587260.01</v>
      </c>
      <c r="O47" s="129">
        <f>SUM(Tabla3[[#This Row],[Gener]:[Desembre]])</f>
        <v>6429631.9579999996</v>
      </c>
    </row>
    <row r="48" spans="1:17" x14ac:dyDescent="0.25">
      <c r="A48" s="116"/>
      <c r="B48" s="36" t="s">
        <v>59</v>
      </c>
      <c r="C48" s="130">
        <f>(C46/C47)-1</f>
        <v>0.19027642284554425</v>
      </c>
      <c r="D48" s="131">
        <f>(D46/D47)-1</f>
        <v>0.1612452876458752</v>
      </c>
      <c r="E48" s="131">
        <f t="shared" ref="E48:O48" si="2">(E46/E47)-1</f>
        <v>0.1853502214677254</v>
      </c>
      <c r="F48" s="131">
        <f t="shared" si="2"/>
        <v>0.21982622232472337</v>
      </c>
      <c r="G48" s="131">
        <f t="shared" si="2"/>
        <v>0.15400015112599208</v>
      </c>
      <c r="H48" s="131">
        <f t="shared" si="2"/>
        <v>0.28503603286555723</v>
      </c>
      <c r="I48" s="131">
        <f t="shared" si="2"/>
        <v>8.5535413152611595E-2</v>
      </c>
      <c r="J48" s="131">
        <f t="shared" si="2"/>
        <v>0.10372386370654074</v>
      </c>
      <c r="K48" s="131">
        <f t="shared" si="2"/>
        <v>9.4983531200365068E-2</v>
      </c>
      <c r="L48" s="131">
        <f t="shared" si="2"/>
        <v>0.12681468635459692</v>
      </c>
      <c r="M48" s="131">
        <f t="shared" si="2"/>
        <v>0.16020465429323139</v>
      </c>
      <c r="N48" s="131">
        <f t="shared" si="2"/>
        <v>0.12628137236860382</v>
      </c>
      <c r="O48" s="131">
        <f t="shared" si="2"/>
        <v>0.15575825156740652</v>
      </c>
    </row>
    <row r="51" s="1" customFormat="1" x14ac:dyDescent="0.25"/>
    <row r="52" s="1" customFormat="1" x14ac:dyDescent="0.25"/>
  </sheetData>
  <sheetProtection sheet="1" objects="1" scenarios="1"/>
  <pageMargins left="0.47" right="0.19685039370078741" top="0.51181102362204722" bottom="0.39370078740157483" header="0.19685039370078741" footer="0.15748031496062992"/>
  <pageSetup paperSize="9" scale="70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R49"/>
  <sheetViews>
    <sheetView showZeros="0" zoomScale="90" zoomScaleNormal="90" workbookViewId="0">
      <selection activeCell="H12" sqref="H12"/>
    </sheetView>
  </sheetViews>
  <sheetFormatPr baseColWidth="10" defaultColWidth="11.42578125" defaultRowHeight="15" x14ac:dyDescent="0.25"/>
  <cols>
    <col min="1" max="1" width="5.42578125" style="1" customWidth="1"/>
    <col min="2" max="2" width="26.140625" style="1" bestFit="1" customWidth="1"/>
    <col min="3" max="5" width="11.42578125" style="3"/>
    <col min="6" max="6" width="11.85546875" style="3" bestFit="1" customWidth="1"/>
    <col min="7" max="10" width="11.42578125" style="3"/>
    <col min="11" max="11" width="11.85546875" style="3" customWidth="1"/>
    <col min="12" max="12" width="11.42578125" style="3"/>
    <col min="13" max="13" width="12.5703125" style="3" customWidth="1"/>
    <col min="14" max="14" width="12.42578125" style="3" customWidth="1"/>
    <col min="15" max="15" width="11.42578125" style="3"/>
    <col min="16" max="16384" width="11.42578125" style="1"/>
  </cols>
  <sheetData>
    <row r="2" spans="1:15" ht="15.75" x14ac:dyDescent="0.25">
      <c r="B2" s="2" t="s">
        <v>61</v>
      </c>
    </row>
    <row r="3" spans="1:15" ht="15.75" thickBot="1" x14ac:dyDescent="0.3">
      <c r="C3" s="4" t="s">
        <v>62</v>
      </c>
    </row>
    <row r="4" spans="1:15" ht="15.75" thickBot="1" x14ac:dyDescent="0.3">
      <c r="A4" s="53" t="s">
        <v>2</v>
      </c>
      <c r="B4" s="6" t="s">
        <v>3</v>
      </c>
      <c r="C4" s="5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55" t="s">
        <v>15</v>
      </c>
      <c r="O4" s="56" t="s">
        <v>16</v>
      </c>
    </row>
    <row r="5" spans="1:15" x14ac:dyDescent="0.25">
      <c r="A5" s="57">
        <v>1</v>
      </c>
      <c r="B5" s="58" t="s">
        <v>17</v>
      </c>
      <c r="C5" s="59">
        <v>23259.63</v>
      </c>
      <c r="D5" s="60">
        <v>13488.35</v>
      </c>
      <c r="E5" s="60">
        <v>14301.95</v>
      </c>
      <c r="F5" s="60">
        <v>15007.86</v>
      </c>
      <c r="G5" s="60">
        <v>23469.5</v>
      </c>
      <c r="H5" s="60">
        <v>16630.38</v>
      </c>
      <c r="I5" s="60">
        <v>21154.67</v>
      </c>
      <c r="J5" s="60">
        <v>14044.33</v>
      </c>
      <c r="K5" s="60">
        <v>13445.88</v>
      </c>
      <c r="L5" s="60">
        <v>17389.63</v>
      </c>
      <c r="M5" s="60">
        <v>17290.91</v>
      </c>
      <c r="N5" s="61">
        <v>22320.39</v>
      </c>
      <c r="O5" s="62">
        <f>SUM(Tabla5[[#This Row],[Gener]:[Desembre]])</f>
        <v>211803.48000000004</v>
      </c>
    </row>
    <row r="6" spans="1:15" x14ac:dyDescent="0.25">
      <c r="A6" s="63">
        <v>2</v>
      </c>
      <c r="B6" s="64" t="s">
        <v>18</v>
      </c>
      <c r="C6" s="65">
        <f>29488.44</f>
        <v>29488.44</v>
      </c>
      <c r="D6" s="66">
        <v>11597.21</v>
      </c>
      <c r="E6" s="66">
        <v>10784.15</v>
      </c>
      <c r="F6" s="66">
        <v>13219.22</v>
      </c>
      <c r="G6" s="66">
        <v>21080</v>
      </c>
      <c r="H6" s="66">
        <v>14894.77</v>
      </c>
      <c r="I6" s="66">
        <v>19698.330000000002</v>
      </c>
      <c r="J6" s="66">
        <v>13368.26</v>
      </c>
      <c r="K6" s="66">
        <v>15867.39</v>
      </c>
      <c r="L6" s="66">
        <v>17944.7</v>
      </c>
      <c r="M6" s="66">
        <v>15808.2</v>
      </c>
      <c r="N6" s="67">
        <v>22847.3</v>
      </c>
      <c r="O6" s="68">
        <f>SUM(Tabla5[[#This Row],[Gener]:[Desembre]])</f>
        <v>206597.97000000003</v>
      </c>
    </row>
    <row r="7" spans="1:15" x14ac:dyDescent="0.25">
      <c r="A7" s="63">
        <v>3</v>
      </c>
      <c r="B7" s="64" t="s">
        <v>19</v>
      </c>
      <c r="C7" s="65">
        <v>43083.39</v>
      </c>
      <c r="D7" s="66">
        <v>24643.53</v>
      </c>
      <c r="E7" s="66">
        <v>32105.75</v>
      </c>
      <c r="F7" s="66">
        <f>30879.25</f>
        <v>30879.25</v>
      </c>
      <c r="G7" s="66">
        <v>35977.879999999997</v>
      </c>
      <c r="H7" s="66">
        <v>34481.79</v>
      </c>
      <c r="I7" s="66">
        <v>38243.550000000003</v>
      </c>
      <c r="J7" s="66">
        <v>43002.5</v>
      </c>
      <c r="K7" s="66">
        <v>32903.449999999997</v>
      </c>
      <c r="L7" s="66">
        <v>33382.449999999997</v>
      </c>
      <c r="M7" s="66">
        <v>32652.57</v>
      </c>
      <c r="N7" s="67">
        <v>32014.59</v>
      </c>
      <c r="O7" s="68">
        <f>SUM(Tabla5[[#This Row],[Gener]:[Desembre]])</f>
        <v>413370.70000000007</v>
      </c>
    </row>
    <row r="8" spans="1:15" x14ac:dyDescent="0.25">
      <c r="A8" s="63">
        <v>4</v>
      </c>
      <c r="B8" s="64" t="s">
        <v>20</v>
      </c>
      <c r="C8" s="65">
        <v>3534.55</v>
      </c>
      <c r="D8" s="66">
        <v>2587.83</v>
      </c>
      <c r="E8" s="66">
        <v>1292.31</v>
      </c>
      <c r="F8" s="66"/>
      <c r="G8" s="66">
        <v>1959.43</v>
      </c>
      <c r="H8" s="66">
        <v>1816.67</v>
      </c>
      <c r="I8" s="66">
        <v>3096</v>
      </c>
      <c r="J8" s="66">
        <v>2276.13</v>
      </c>
      <c r="K8" s="66">
        <v>2340</v>
      </c>
      <c r="L8" s="66">
        <v>1873.47</v>
      </c>
      <c r="M8" s="66">
        <v>1161.29</v>
      </c>
      <c r="N8" s="67">
        <v>1115.08</v>
      </c>
      <c r="O8" s="68">
        <f>SUM(Tabla5[[#This Row],[Gener]:[Desembre]])</f>
        <v>23052.760000000002</v>
      </c>
    </row>
    <row r="9" spans="1:15" x14ac:dyDescent="0.25">
      <c r="A9" s="63">
        <v>5</v>
      </c>
      <c r="B9" s="64" t="s">
        <v>21</v>
      </c>
      <c r="C9" s="65">
        <v>22394.13</v>
      </c>
      <c r="D9" s="66">
        <v>11788.19</v>
      </c>
      <c r="E9" s="66">
        <v>10404.620000000001</v>
      </c>
      <c r="F9" s="66">
        <v>11447.83</v>
      </c>
      <c r="G9" s="66">
        <v>12435.38</v>
      </c>
      <c r="H9" s="66">
        <v>24388.83</v>
      </c>
      <c r="I9" s="66"/>
      <c r="J9" s="66">
        <v>25313.8</v>
      </c>
      <c r="K9" s="66">
        <v>26040.76</v>
      </c>
      <c r="L9" s="66">
        <v>16182.27</v>
      </c>
      <c r="M9" s="66">
        <v>7099.33</v>
      </c>
      <c r="N9" s="67">
        <v>16600.060000000001</v>
      </c>
      <c r="O9" s="68">
        <f>SUM(Tabla5[[#This Row],[Gener]:[Desembre]])</f>
        <v>184095.19999999998</v>
      </c>
    </row>
    <row r="10" spans="1:15" x14ac:dyDescent="0.25">
      <c r="A10" s="63">
        <v>6</v>
      </c>
      <c r="B10" s="64" t="s">
        <v>22</v>
      </c>
      <c r="C10" s="65">
        <v>46456.62</v>
      </c>
      <c r="D10" s="66">
        <v>24688.799999999999</v>
      </c>
      <c r="E10" s="66">
        <v>28400.080000000002</v>
      </c>
      <c r="F10" s="66">
        <v>36599.25</v>
      </c>
      <c r="G10" s="66">
        <v>18861.849999999999</v>
      </c>
      <c r="H10" s="66">
        <v>41636.74</v>
      </c>
      <c r="I10" s="66">
        <v>45680.75</v>
      </c>
      <c r="J10" s="66">
        <v>27630.39</v>
      </c>
      <c r="K10" s="66">
        <v>42622.73</v>
      </c>
      <c r="L10" s="66">
        <v>23870.54</v>
      </c>
      <c r="M10" s="66">
        <v>49678.7</v>
      </c>
      <c r="N10" s="67">
        <v>25062.55</v>
      </c>
      <c r="O10" s="68">
        <f>SUM(Tabla5[[#This Row],[Gener]:[Desembre]])</f>
        <v>411188.99999999994</v>
      </c>
    </row>
    <row r="11" spans="1:15" x14ac:dyDescent="0.25">
      <c r="A11" s="63">
        <v>8</v>
      </c>
      <c r="B11" s="64" t="s">
        <v>23</v>
      </c>
      <c r="C11" s="65">
        <v>6172.12</v>
      </c>
      <c r="D11" s="66">
        <v>4563.84</v>
      </c>
      <c r="E11" s="66">
        <v>1938.46</v>
      </c>
      <c r="F11" s="66"/>
      <c r="G11" s="66">
        <v>2830.29</v>
      </c>
      <c r="H11" s="66">
        <v>3633.33</v>
      </c>
      <c r="I11" s="66">
        <v>6731.27</v>
      </c>
      <c r="J11" s="66">
        <v>3983.23</v>
      </c>
      <c r="K11" s="66">
        <v>4420</v>
      </c>
      <c r="L11" s="66">
        <v>3906.33</v>
      </c>
      <c r="M11" s="66"/>
      <c r="N11" s="67">
        <v>2369.54</v>
      </c>
      <c r="O11" s="68">
        <f>SUM(Tabla5[[#This Row],[Gener]:[Desembre]])</f>
        <v>40548.410000000003</v>
      </c>
    </row>
    <row r="12" spans="1:15" x14ac:dyDescent="0.25">
      <c r="A12" s="63">
        <v>9</v>
      </c>
      <c r="B12" s="64" t="s">
        <v>24</v>
      </c>
      <c r="C12" s="65"/>
      <c r="D12" s="66"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7"/>
      <c r="O12" s="68">
        <f>SUM(Tabla5[[#This Row],[Gener]:[Desembre]])</f>
        <v>0</v>
      </c>
    </row>
    <row r="13" spans="1:15" x14ac:dyDescent="0.25">
      <c r="A13" s="63">
        <v>10</v>
      </c>
      <c r="B13" s="64" t="s">
        <v>25</v>
      </c>
      <c r="C13" s="65">
        <v>31775.52</v>
      </c>
      <c r="D13" s="66">
        <v>24824.78</v>
      </c>
      <c r="E13" s="66">
        <v>42773.77</v>
      </c>
      <c r="F13" s="66">
        <v>24809.09</v>
      </c>
      <c r="G13" s="66">
        <v>28804.91</v>
      </c>
      <c r="H13" s="66">
        <v>17091.43</v>
      </c>
      <c r="I13" s="66">
        <v>53243.88</v>
      </c>
      <c r="J13" s="66">
        <v>20648.25</v>
      </c>
      <c r="K13" s="66">
        <v>31749.52</v>
      </c>
      <c r="L13" s="66">
        <v>23441.81</v>
      </c>
      <c r="M13" s="66">
        <v>16206.51</v>
      </c>
      <c r="N13" s="67">
        <v>26286.23</v>
      </c>
      <c r="O13" s="68">
        <f>SUM(Tabla5[[#This Row],[Gener]:[Desembre]])</f>
        <v>341655.7</v>
      </c>
    </row>
    <row r="14" spans="1:15" x14ac:dyDescent="0.25">
      <c r="A14" s="63">
        <v>11</v>
      </c>
      <c r="B14" s="64" t="s">
        <v>26</v>
      </c>
      <c r="C14" s="65">
        <v>114739.03</v>
      </c>
      <c r="D14" s="66">
        <v>79747.649999999994</v>
      </c>
      <c r="E14" s="66">
        <v>106306.86</v>
      </c>
      <c r="F14" s="66">
        <v>69165.09</v>
      </c>
      <c r="G14" s="66">
        <v>50998.63</v>
      </c>
      <c r="H14" s="66">
        <v>112897</v>
      </c>
      <c r="I14" s="66">
        <v>118378.73</v>
      </c>
      <c r="J14" s="66">
        <v>75600.41</v>
      </c>
      <c r="K14" s="66">
        <v>85148.27</v>
      </c>
      <c r="L14" s="66">
        <v>93880.84</v>
      </c>
      <c r="M14" s="66">
        <v>78548.91</v>
      </c>
      <c r="N14" s="67">
        <v>98406.75</v>
      </c>
      <c r="O14" s="68">
        <f>SUM(Tabla5[[#This Row],[Gener]:[Desembre]])</f>
        <v>1083818.17</v>
      </c>
    </row>
    <row r="15" spans="1:15" x14ac:dyDescent="0.25">
      <c r="A15" s="63">
        <v>12</v>
      </c>
      <c r="B15" s="64" t="s">
        <v>27</v>
      </c>
      <c r="C15" s="65">
        <v>6703.42</v>
      </c>
      <c r="D15" s="66">
        <v>3746.29</v>
      </c>
      <c r="E15" s="66">
        <v>4389.68</v>
      </c>
      <c r="F15" s="66">
        <v>4062.37</v>
      </c>
      <c r="G15" s="66">
        <v>4480</v>
      </c>
      <c r="H15" s="66">
        <v>5766.67</v>
      </c>
      <c r="I15" s="66">
        <v>4280.83</v>
      </c>
      <c r="J15" s="66">
        <v>7580.95</v>
      </c>
      <c r="K15" s="66">
        <v>4167.74</v>
      </c>
      <c r="L15" s="66">
        <v>4485.8100000000004</v>
      </c>
      <c r="M15" s="66">
        <v>3468.57</v>
      </c>
      <c r="N15" s="67">
        <v>3783.42</v>
      </c>
      <c r="O15" s="68">
        <f>SUM(Tabla5[[#This Row],[Gener]:[Desembre]])</f>
        <v>56915.749999999993</v>
      </c>
    </row>
    <row r="16" spans="1:15" x14ac:dyDescent="0.25">
      <c r="A16" s="63">
        <v>13</v>
      </c>
      <c r="B16" s="64" t="s">
        <v>28</v>
      </c>
      <c r="C16" s="65">
        <v>24711.200000000001</v>
      </c>
      <c r="D16" s="66">
        <v>2547.19</v>
      </c>
      <c r="E16" s="66">
        <v>12457.14</v>
      </c>
      <c r="F16" s="66">
        <v>19281.509999999998</v>
      </c>
      <c r="G16" s="66">
        <v>10769.14</v>
      </c>
      <c r="H16" s="66">
        <v>8422.5</v>
      </c>
      <c r="I16" s="66">
        <v>16238.26</v>
      </c>
      <c r="J16" s="66">
        <v>11583.08</v>
      </c>
      <c r="K16" s="66">
        <v>12015.33</v>
      </c>
      <c r="L16" s="66">
        <v>11896.92</v>
      </c>
      <c r="M16" s="66">
        <v>10345.450000000001</v>
      </c>
      <c r="N16" s="67">
        <v>14013.54</v>
      </c>
      <c r="O16" s="68">
        <f>SUM(Tabla5[[#This Row],[Gener]:[Desembre]])</f>
        <v>154281.26</v>
      </c>
    </row>
    <row r="17" spans="1:15" x14ac:dyDescent="0.25">
      <c r="A17" s="63">
        <v>14</v>
      </c>
      <c r="B17" s="64" t="s">
        <v>29</v>
      </c>
      <c r="C17" s="65"/>
      <c r="D17" s="66">
        <v>0</v>
      </c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68">
        <f>SUM(Tabla5[[#This Row],[Gener]:[Desembre]])</f>
        <v>0</v>
      </c>
    </row>
    <row r="18" spans="1:15" x14ac:dyDescent="0.25">
      <c r="A18" s="63">
        <v>15</v>
      </c>
      <c r="B18" s="64" t="s">
        <v>30</v>
      </c>
      <c r="C18" s="65">
        <v>15312.8</v>
      </c>
      <c r="D18" s="66">
        <v>15197.54</v>
      </c>
      <c r="E18" s="66">
        <v>19025.849999999999</v>
      </c>
      <c r="F18" s="66">
        <v>14079.36</v>
      </c>
      <c r="G18" s="66">
        <v>15358.84</v>
      </c>
      <c r="H18" s="66">
        <v>17497.330000000002</v>
      </c>
      <c r="I18" s="66"/>
      <c r="J18" s="66">
        <v>40383.71</v>
      </c>
      <c r="K18" s="66">
        <v>12999.73</v>
      </c>
      <c r="L18" s="66">
        <v>2613.33</v>
      </c>
      <c r="M18" s="66">
        <v>18793.400000000001</v>
      </c>
      <c r="N18" s="67">
        <v>23368.67</v>
      </c>
      <c r="O18" s="68">
        <f>SUM(Tabla5[[#This Row],[Gener]:[Desembre]])</f>
        <v>194630.56</v>
      </c>
    </row>
    <row r="19" spans="1:15" x14ac:dyDescent="0.25">
      <c r="A19" s="63">
        <v>16</v>
      </c>
      <c r="B19" s="64" t="s">
        <v>31</v>
      </c>
      <c r="C19" s="65"/>
      <c r="D19" s="66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7"/>
      <c r="O19" s="68">
        <f>SUM(Tabla5[[#This Row],[Gener]:[Desembre]])</f>
        <v>0</v>
      </c>
    </row>
    <row r="20" spans="1:15" x14ac:dyDescent="0.25">
      <c r="A20" s="63">
        <v>17</v>
      </c>
      <c r="B20" s="64" t="s">
        <v>32</v>
      </c>
      <c r="C20" s="65">
        <f>14707.41+440</f>
        <v>15147.41</v>
      </c>
      <c r="D20" s="66">
        <v>9922.91</v>
      </c>
      <c r="E20" s="66">
        <v>13687.32</v>
      </c>
      <c r="F20" s="66">
        <f>10522.72+680</f>
        <v>11202.72</v>
      </c>
      <c r="G20" s="66">
        <v>480</v>
      </c>
      <c r="H20" s="66">
        <v>15566.67</v>
      </c>
      <c r="I20" s="66">
        <v>12434.4</v>
      </c>
      <c r="J20" s="66">
        <v>11998.06</v>
      </c>
      <c r="K20" s="66">
        <v>9385</v>
      </c>
      <c r="L20" s="66">
        <f>12324.64+240</f>
        <v>12564.64</v>
      </c>
      <c r="M20" s="66">
        <f>9228.54+400</f>
        <v>9628.5400000000009</v>
      </c>
      <c r="N20" s="67">
        <v>10584.4</v>
      </c>
      <c r="O20" s="68">
        <f>SUM(Tabla5[[#This Row],[Gener]:[Desembre]])</f>
        <v>132602.06999999998</v>
      </c>
    </row>
    <row r="21" spans="1:15" x14ac:dyDescent="0.25">
      <c r="A21" s="63">
        <v>18</v>
      </c>
      <c r="B21" s="64" t="s">
        <v>33</v>
      </c>
      <c r="C21" s="65">
        <v>93399.01</v>
      </c>
      <c r="D21" s="66">
        <v>62049.120000000003</v>
      </c>
      <c r="E21" s="66">
        <v>73760.37</v>
      </c>
      <c r="F21" s="66">
        <v>57611.06</v>
      </c>
      <c r="G21" s="66">
        <v>71505.789999999994</v>
      </c>
      <c r="H21" s="66">
        <v>89151.69</v>
      </c>
      <c r="I21" s="66">
        <v>77473.179999999993</v>
      </c>
      <c r="J21" s="66">
        <v>65974.649999999994</v>
      </c>
      <c r="K21" s="66">
        <f>71783.03+580</f>
        <v>72363.03</v>
      </c>
      <c r="L21" s="66">
        <v>46405</v>
      </c>
      <c r="M21" s="66">
        <v>70126.97</v>
      </c>
      <c r="N21" s="67">
        <v>96206.52</v>
      </c>
      <c r="O21" s="68">
        <f>SUM(Tabla5[[#This Row],[Gener]:[Desembre]])</f>
        <v>876026.39</v>
      </c>
    </row>
    <row r="22" spans="1:15" x14ac:dyDescent="0.25">
      <c r="A22" s="63">
        <v>19</v>
      </c>
      <c r="B22" s="64" t="s">
        <v>34</v>
      </c>
      <c r="C22" s="65">
        <v>18620</v>
      </c>
      <c r="D22" s="66">
        <v>12543.42</v>
      </c>
      <c r="E22" s="66">
        <v>11183.78</v>
      </c>
      <c r="F22" s="66">
        <f>16660+936.92</f>
        <v>17596.919999999998</v>
      </c>
      <c r="G22" s="66">
        <v>11320</v>
      </c>
      <c r="H22" s="66">
        <v>12668</v>
      </c>
      <c r="I22" s="66">
        <v>10120</v>
      </c>
      <c r="J22" s="66">
        <v>9836.52</v>
      </c>
      <c r="K22" s="66">
        <v>15148.28</v>
      </c>
      <c r="L22" s="66">
        <f>9760+810</f>
        <v>10570</v>
      </c>
      <c r="M22" s="66">
        <f>10020+619.02</f>
        <v>10639.02</v>
      </c>
      <c r="N22" s="67">
        <v>12322.21</v>
      </c>
      <c r="O22" s="68">
        <f>SUM(Tabla5[[#This Row],[Gener]:[Desembre]])</f>
        <v>152568.15</v>
      </c>
    </row>
    <row r="23" spans="1:15" x14ac:dyDescent="0.25">
      <c r="A23" s="63">
        <v>20</v>
      </c>
      <c r="B23" s="64" t="s">
        <v>35</v>
      </c>
      <c r="C23" s="65"/>
      <c r="D23" s="66">
        <v>0</v>
      </c>
      <c r="E23" s="66"/>
      <c r="F23" s="66"/>
      <c r="G23" s="66"/>
      <c r="H23" s="66"/>
      <c r="I23" s="66"/>
      <c r="J23" s="66"/>
      <c r="K23" s="66"/>
      <c r="L23" s="66"/>
      <c r="M23" s="66"/>
      <c r="N23" s="67"/>
      <c r="O23" s="68">
        <f>SUM(Tabla5[[#This Row],[Gener]:[Desembre]])</f>
        <v>0</v>
      </c>
    </row>
    <row r="24" spans="1:15" x14ac:dyDescent="0.25">
      <c r="A24" s="63">
        <v>21</v>
      </c>
      <c r="B24" s="64" t="s">
        <v>36</v>
      </c>
      <c r="C24" s="65">
        <v>1493.33</v>
      </c>
      <c r="D24" s="66">
        <v>1879.91</v>
      </c>
      <c r="E24" s="66">
        <v>1453.85</v>
      </c>
      <c r="F24" s="66"/>
      <c r="G24" s="66">
        <v>1741.71</v>
      </c>
      <c r="H24" s="66">
        <v>3740</v>
      </c>
      <c r="I24" s="66">
        <v>818.18</v>
      </c>
      <c r="J24" s="66">
        <v>3636.96</v>
      </c>
      <c r="K24" s="66">
        <v>2080</v>
      </c>
      <c r="L24" s="66">
        <v>2081.63</v>
      </c>
      <c r="M24" s="66">
        <v>4800</v>
      </c>
      <c r="N24" s="67">
        <v>836.31</v>
      </c>
      <c r="O24" s="68">
        <f>SUM(Tabla5[[#This Row],[Gener]:[Desembre]])</f>
        <v>24561.88</v>
      </c>
    </row>
    <row r="25" spans="1:15" x14ac:dyDescent="0.25">
      <c r="A25" s="63">
        <v>22</v>
      </c>
      <c r="B25" s="64" t="s">
        <v>37</v>
      </c>
      <c r="C25" s="65">
        <v>28589.15</v>
      </c>
      <c r="D25" s="66">
        <v>21636.09</v>
      </c>
      <c r="E25" s="66">
        <v>16186.29</v>
      </c>
      <c r="F25" s="66">
        <v>28281.14</v>
      </c>
      <c r="G25" s="66">
        <v>19434.580000000002</v>
      </c>
      <c r="H25" s="66">
        <v>31112.92</v>
      </c>
      <c r="I25" s="66">
        <v>21134.93</v>
      </c>
      <c r="J25" s="66">
        <v>16525.189999999999</v>
      </c>
      <c r="K25" s="66">
        <v>28228.75</v>
      </c>
      <c r="L25" s="66">
        <v>15695.91</v>
      </c>
      <c r="M25" s="66">
        <v>23987.42</v>
      </c>
      <c r="N25" s="67">
        <v>12596.5</v>
      </c>
      <c r="O25" s="68">
        <f>SUM(Tabla5[[#This Row],[Gener]:[Desembre]])</f>
        <v>263408.87</v>
      </c>
    </row>
    <row r="26" spans="1:15" x14ac:dyDescent="0.25">
      <c r="A26" s="63">
        <v>23</v>
      </c>
      <c r="B26" s="64" t="s">
        <v>38</v>
      </c>
      <c r="C26" s="65">
        <v>17202.169999999998</v>
      </c>
      <c r="D26" s="66">
        <v>10860.5</v>
      </c>
      <c r="E26" s="66">
        <v>20340.509999999998</v>
      </c>
      <c r="F26" s="66">
        <v>11700</v>
      </c>
      <c r="G26" s="66">
        <v>11547.93</v>
      </c>
      <c r="H26" s="66">
        <v>8613.23</v>
      </c>
      <c r="I26" s="66">
        <v>14616.67</v>
      </c>
      <c r="J26" s="66">
        <v>14158.76</v>
      </c>
      <c r="K26" s="66">
        <v>17849.09</v>
      </c>
      <c r="L26" s="66">
        <v>12893.54</v>
      </c>
      <c r="M26" s="66">
        <v>16229.85</v>
      </c>
      <c r="N26" s="67">
        <v>17512.84</v>
      </c>
      <c r="O26" s="68">
        <f>SUM(Tabla5[[#This Row],[Gener]:[Desembre]])</f>
        <v>173525.08999999997</v>
      </c>
    </row>
    <row r="27" spans="1:15" x14ac:dyDescent="0.25">
      <c r="A27" s="63">
        <v>24</v>
      </c>
      <c r="B27" s="64" t="s">
        <v>39</v>
      </c>
      <c r="C27" s="65">
        <v>8388.59</v>
      </c>
      <c r="D27" s="66">
        <v>5098.5600000000004</v>
      </c>
      <c r="E27" s="66">
        <v>8076.54</v>
      </c>
      <c r="F27" s="66">
        <v>9340</v>
      </c>
      <c r="G27" s="66">
        <v>17698.46</v>
      </c>
      <c r="H27" s="66">
        <v>11502.34</v>
      </c>
      <c r="I27" s="66">
        <v>13740</v>
      </c>
      <c r="J27" s="66">
        <v>9952</v>
      </c>
      <c r="K27" s="66">
        <v>12073.52</v>
      </c>
      <c r="L27" s="66">
        <v>8976.14</v>
      </c>
      <c r="M27" s="66">
        <v>8571.89</v>
      </c>
      <c r="N27" s="67">
        <v>16986.68</v>
      </c>
      <c r="O27" s="68">
        <f>SUM(Tabla5[[#This Row],[Gener]:[Desembre]])</f>
        <v>130404.72</v>
      </c>
    </row>
    <row r="28" spans="1:15" x14ac:dyDescent="0.25">
      <c r="A28" s="63">
        <v>25</v>
      </c>
      <c r="B28" s="64" t="s">
        <v>40</v>
      </c>
      <c r="C28" s="65">
        <v>43749.06</v>
      </c>
      <c r="D28" s="66">
        <v>23241.71</v>
      </c>
      <c r="E28" s="66">
        <v>36913.68</v>
      </c>
      <c r="F28" s="66">
        <v>34930.699999999997</v>
      </c>
      <c r="G28" s="66">
        <v>18471.89</v>
      </c>
      <c r="H28" s="66">
        <v>30971.23</v>
      </c>
      <c r="I28" s="66">
        <v>51780.17</v>
      </c>
      <c r="J28" s="66">
        <v>32832.69</v>
      </c>
      <c r="K28" s="66">
        <v>14296.6</v>
      </c>
      <c r="L28" s="66">
        <v>26832.1</v>
      </c>
      <c r="M28" s="66">
        <v>33675.599999999999</v>
      </c>
      <c r="N28" s="67">
        <v>38471.050000000003</v>
      </c>
      <c r="O28" s="68">
        <f>SUM(Tabla5[[#This Row],[Gener]:[Desembre]])</f>
        <v>386166.47999999992</v>
      </c>
    </row>
    <row r="29" spans="1:15" x14ac:dyDescent="0.25">
      <c r="A29" s="63">
        <v>26</v>
      </c>
      <c r="B29" s="64" t="s">
        <v>41</v>
      </c>
      <c r="C29" s="65">
        <v>6260</v>
      </c>
      <c r="D29" s="66">
        <v>7220</v>
      </c>
      <c r="E29" s="66">
        <v>5860</v>
      </c>
      <c r="F29" s="66">
        <v>6020</v>
      </c>
      <c r="G29" s="66">
        <v>5920</v>
      </c>
      <c r="H29" s="66">
        <v>6840</v>
      </c>
      <c r="I29" s="66">
        <v>7220</v>
      </c>
      <c r="J29" s="66">
        <v>11420</v>
      </c>
      <c r="K29" s="66">
        <v>5800</v>
      </c>
      <c r="L29" s="66">
        <v>5720</v>
      </c>
      <c r="M29" s="66">
        <v>5420</v>
      </c>
      <c r="N29" s="67">
        <v>4520</v>
      </c>
      <c r="O29" s="68">
        <f>SUM(Tabla5[[#This Row],[Gener]:[Desembre]])</f>
        <v>78220</v>
      </c>
    </row>
    <row r="30" spans="1:15" x14ac:dyDescent="0.25">
      <c r="A30" s="63">
        <v>27</v>
      </c>
      <c r="B30" s="64" t="s">
        <v>42</v>
      </c>
      <c r="C30" s="65"/>
      <c r="D30" s="66">
        <v>0</v>
      </c>
      <c r="E30" s="66"/>
      <c r="F30" s="66"/>
      <c r="G30" s="66"/>
      <c r="H30" s="66"/>
      <c r="I30" s="66"/>
      <c r="J30" s="66"/>
      <c r="K30" s="66"/>
      <c r="L30" s="66"/>
      <c r="M30" s="66"/>
      <c r="N30" s="67"/>
      <c r="O30" s="68">
        <f>SUM(Tabla5[[#This Row],[Gener]:[Desembre]])</f>
        <v>0</v>
      </c>
    </row>
    <row r="31" spans="1:15" x14ac:dyDescent="0.25">
      <c r="A31" s="63">
        <v>28</v>
      </c>
      <c r="B31" s="64" t="s">
        <v>43</v>
      </c>
      <c r="C31" s="65">
        <v>24502.9</v>
      </c>
      <c r="D31" s="66">
        <v>10898.5</v>
      </c>
      <c r="E31" s="66">
        <v>9046.74</v>
      </c>
      <c r="F31" s="66">
        <v>13880</v>
      </c>
      <c r="G31" s="66">
        <v>12497.7</v>
      </c>
      <c r="H31" s="66">
        <v>10278.459999999999</v>
      </c>
      <c r="I31" s="66">
        <v>31880.32</v>
      </c>
      <c r="J31" s="66">
        <v>10001.379999999999</v>
      </c>
      <c r="K31" s="66">
        <v>12274.52</v>
      </c>
      <c r="L31" s="66">
        <v>10600.66</v>
      </c>
      <c r="M31" s="66">
        <v>11224.01</v>
      </c>
      <c r="N31" s="67">
        <v>16043.23</v>
      </c>
      <c r="O31" s="68">
        <f>SUM(Tabla5[[#This Row],[Gener]:[Desembre]])</f>
        <v>173128.42</v>
      </c>
    </row>
    <row r="32" spans="1:15" x14ac:dyDescent="0.25">
      <c r="A32" s="63">
        <v>29</v>
      </c>
      <c r="B32" s="64" t="s">
        <v>44</v>
      </c>
      <c r="C32" s="65"/>
      <c r="D32" s="66">
        <v>227.37</v>
      </c>
      <c r="E32" s="66">
        <v>161.54</v>
      </c>
      <c r="F32" s="66"/>
      <c r="G32" s="66"/>
      <c r="H32" s="66"/>
      <c r="I32" s="66"/>
      <c r="J32" s="66"/>
      <c r="K32" s="66"/>
      <c r="L32" s="66">
        <v>992.04</v>
      </c>
      <c r="M32" s="66">
        <v>258.06</v>
      </c>
      <c r="N32" s="67">
        <v>278.77</v>
      </c>
      <c r="O32" s="68">
        <f>SUM(Tabla5[[#This Row],[Gener]:[Desembre]])</f>
        <v>1917.7799999999997</v>
      </c>
    </row>
    <row r="33" spans="1:18" x14ac:dyDescent="0.25">
      <c r="A33" s="63">
        <v>30</v>
      </c>
      <c r="B33" s="64" t="s">
        <v>45</v>
      </c>
      <c r="C33" s="65">
        <v>21540</v>
      </c>
      <c r="D33" s="66">
        <v>13560</v>
      </c>
      <c r="E33" s="66">
        <v>14660</v>
      </c>
      <c r="F33" s="66">
        <v>21800</v>
      </c>
      <c r="G33" s="66">
        <v>18080</v>
      </c>
      <c r="H33" s="66">
        <v>19020</v>
      </c>
      <c r="I33" s="66">
        <v>23400</v>
      </c>
      <c r="J33" s="66">
        <v>17460</v>
      </c>
      <c r="K33" s="66">
        <v>16500</v>
      </c>
      <c r="L33" s="66">
        <v>18560</v>
      </c>
      <c r="M33" s="66">
        <v>14660</v>
      </c>
      <c r="N33" s="67">
        <v>20500</v>
      </c>
      <c r="O33" s="68">
        <f>SUM(Tabla5[[#This Row],[Gener]:[Desembre]])</f>
        <v>219740</v>
      </c>
    </row>
    <row r="34" spans="1:18" x14ac:dyDescent="0.25">
      <c r="A34" s="63">
        <v>31</v>
      </c>
      <c r="B34" s="64" t="s">
        <v>46</v>
      </c>
      <c r="C34" s="65">
        <v>4938.91</v>
      </c>
      <c r="D34" s="66">
        <v>1700</v>
      </c>
      <c r="E34" s="66">
        <v>1406.04</v>
      </c>
      <c r="F34" s="66">
        <v>1844</v>
      </c>
      <c r="G34" s="66">
        <v>2125</v>
      </c>
      <c r="H34" s="66">
        <v>5557.18</v>
      </c>
      <c r="I34" s="66">
        <v>2330</v>
      </c>
      <c r="J34" s="66">
        <v>2676.92</v>
      </c>
      <c r="K34" s="66">
        <v>2265</v>
      </c>
      <c r="L34" s="66">
        <v>2160</v>
      </c>
      <c r="M34" s="66">
        <v>2063.41</v>
      </c>
      <c r="N34" s="67">
        <v>3688.17</v>
      </c>
      <c r="O34" s="68">
        <f>SUM(Tabla5[[#This Row],[Gener]:[Desembre]])</f>
        <v>32754.630000000005</v>
      </c>
    </row>
    <row r="35" spans="1:18" x14ac:dyDescent="0.25">
      <c r="A35" s="63">
        <v>32</v>
      </c>
      <c r="B35" s="64" t="s">
        <v>47</v>
      </c>
      <c r="C35" s="65">
        <v>20710.060000000001</v>
      </c>
      <c r="D35" s="66">
        <v>18344.47</v>
      </c>
      <c r="E35" s="66">
        <v>26254.92</v>
      </c>
      <c r="F35" s="66">
        <v>20705.419999999998</v>
      </c>
      <c r="G35" s="66">
        <v>8820</v>
      </c>
      <c r="H35" s="66">
        <v>25237.42</v>
      </c>
      <c r="I35" s="66">
        <v>33480.07</v>
      </c>
      <c r="J35" s="66">
        <v>15506.64</v>
      </c>
      <c r="K35" s="66">
        <v>22350.48</v>
      </c>
      <c r="L35" s="66">
        <v>22014.12</v>
      </c>
      <c r="M35" s="66">
        <v>16164.62</v>
      </c>
      <c r="N35" s="67">
        <v>28328.31</v>
      </c>
      <c r="O35" s="68">
        <f>SUM(Tabla5[[#This Row],[Gener]:[Desembre]])</f>
        <v>257916.53</v>
      </c>
    </row>
    <row r="36" spans="1:18" x14ac:dyDescent="0.25">
      <c r="A36" s="63">
        <v>33</v>
      </c>
      <c r="B36" s="64" t="s">
        <v>48</v>
      </c>
      <c r="C36" s="65">
        <v>1363.08</v>
      </c>
      <c r="D36" s="66">
        <v>0</v>
      </c>
      <c r="E36" s="66">
        <v>2062.67</v>
      </c>
      <c r="F36" s="66"/>
      <c r="G36" s="66"/>
      <c r="H36" s="66">
        <v>1230.56</v>
      </c>
      <c r="I36" s="66">
        <v>2690</v>
      </c>
      <c r="J36" s="66"/>
      <c r="K36" s="66">
        <v>1194.55</v>
      </c>
      <c r="L36" s="66"/>
      <c r="M36" s="66">
        <v>1101.33</v>
      </c>
      <c r="N36" s="67"/>
      <c r="O36" s="68">
        <f>SUM(Tabla5[[#This Row],[Gener]:[Desembre]])</f>
        <v>9642.1899999999987</v>
      </c>
    </row>
    <row r="37" spans="1:18" x14ac:dyDescent="0.25">
      <c r="A37" s="63">
        <v>34</v>
      </c>
      <c r="B37" s="64" t="s">
        <v>49</v>
      </c>
      <c r="C37" s="65">
        <v>8389.2900000000009</v>
      </c>
      <c r="D37" s="66">
        <v>2935.52</v>
      </c>
      <c r="E37" s="66">
        <v>6296.11</v>
      </c>
      <c r="F37" s="66">
        <v>5583.89</v>
      </c>
      <c r="G37" s="66">
        <v>7648.57</v>
      </c>
      <c r="H37" s="66">
        <v>7612.08</v>
      </c>
      <c r="I37" s="66">
        <v>1778.95</v>
      </c>
      <c r="J37" s="66">
        <v>7571.43</v>
      </c>
      <c r="K37" s="66">
        <v>6277.91</v>
      </c>
      <c r="L37" s="66">
        <v>5600.57</v>
      </c>
      <c r="M37" s="66">
        <v>5211.43</v>
      </c>
      <c r="N37" s="67">
        <v>5887.48</v>
      </c>
      <c r="O37" s="68">
        <f>SUM(Tabla5[[#This Row],[Gener]:[Desembre]])</f>
        <v>70793.23</v>
      </c>
    </row>
    <row r="38" spans="1:18" x14ac:dyDescent="0.25">
      <c r="A38" s="63">
        <v>35</v>
      </c>
      <c r="B38" s="64" t="s">
        <v>50</v>
      </c>
      <c r="C38" s="65">
        <v>10918.48</v>
      </c>
      <c r="D38" s="66">
        <v>6749.74</v>
      </c>
      <c r="E38" s="66">
        <v>7414.59</v>
      </c>
      <c r="F38" s="66">
        <v>8410</v>
      </c>
      <c r="G38" s="66">
        <v>7840</v>
      </c>
      <c r="H38" s="66">
        <v>6946.53</v>
      </c>
      <c r="I38" s="66">
        <v>8408.43</v>
      </c>
      <c r="J38" s="66">
        <v>6777.83</v>
      </c>
      <c r="K38" s="66">
        <v>6864.88</v>
      </c>
      <c r="L38" s="66">
        <v>8328.7900000000009</v>
      </c>
      <c r="M38" s="66">
        <v>6129.73</v>
      </c>
      <c r="N38" s="67">
        <v>12753.86</v>
      </c>
      <c r="O38" s="68">
        <f>SUM(Tabla5[[#This Row],[Gener]:[Desembre]])</f>
        <v>97542.859999999986</v>
      </c>
    </row>
    <row r="39" spans="1:18" x14ac:dyDescent="0.25">
      <c r="A39" s="63">
        <v>36</v>
      </c>
      <c r="B39" s="64" t="s">
        <v>51</v>
      </c>
      <c r="C39" s="65">
        <v>2341.48</v>
      </c>
      <c r="D39" s="66">
        <v>1024</v>
      </c>
      <c r="E39" s="66">
        <v>1924.21</v>
      </c>
      <c r="F39" s="66">
        <v>1942.22</v>
      </c>
      <c r="G39" s="66">
        <v>2611.4299999999998</v>
      </c>
      <c r="H39" s="66">
        <v>2548.13</v>
      </c>
      <c r="I39" s="66">
        <v>2705.79</v>
      </c>
      <c r="J39" s="66">
        <v>2135.6799999999998</v>
      </c>
      <c r="K39" s="66">
        <v>2021.86</v>
      </c>
      <c r="L39" s="66">
        <v>1659.43</v>
      </c>
      <c r="M39" s="66">
        <v>1520</v>
      </c>
      <c r="N39" s="67">
        <v>1481.31</v>
      </c>
      <c r="O39" s="68">
        <f>SUM(Tabla5[[#This Row],[Gener]:[Desembre]])</f>
        <v>23915.540000000005</v>
      </c>
    </row>
    <row r="40" spans="1:18" x14ac:dyDescent="0.25">
      <c r="A40" s="63">
        <v>37</v>
      </c>
      <c r="B40" s="64" t="s">
        <v>52</v>
      </c>
      <c r="C40" s="65">
        <v>13325.86</v>
      </c>
      <c r="D40" s="66">
        <v>8073.33</v>
      </c>
      <c r="E40" s="66">
        <v>8540</v>
      </c>
      <c r="F40" s="66">
        <v>10485.16</v>
      </c>
      <c r="G40" s="66">
        <v>11547.83</v>
      </c>
      <c r="H40" s="66">
        <v>10063.19</v>
      </c>
      <c r="I40" s="66">
        <v>12326</v>
      </c>
      <c r="J40" s="66">
        <v>8743.8700000000008</v>
      </c>
      <c r="K40" s="66">
        <v>8555.1200000000008</v>
      </c>
      <c r="L40" s="66">
        <v>9378.34</v>
      </c>
      <c r="M40" s="66">
        <v>9344.15</v>
      </c>
      <c r="N40" s="67">
        <v>12422.93</v>
      </c>
      <c r="O40" s="68">
        <f>SUM(Tabla5[[#This Row],[Gener]:[Desembre]])</f>
        <v>122805.78</v>
      </c>
    </row>
    <row r="41" spans="1:18" x14ac:dyDescent="0.25">
      <c r="A41" s="63">
        <v>38</v>
      </c>
      <c r="B41" s="64" t="s">
        <v>53</v>
      </c>
      <c r="C41" s="65">
        <v>2462.5</v>
      </c>
      <c r="D41" s="66">
        <v>2023.78</v>
      </c>
      <c r="E41" s="66">
        <v>1562.26</v>
      </c>
      <c r="F41" s="66">
        <v>3387.27</v>
      </c>
      <c r="G41" s="66">
        <v>3049.66</v>
      </c>
      <c r="H41" s="66">
        <v>1995</v>
      </c>
      <c r="I41" s="66">
        <v>3140.87</v>
      </c>
      <c r="J41" s="66">
        <v>2240.5300000000002</v>
      </c>
      <c r="K41" s="66">
        <v>2787.69</v>
      </c>
      <c r="L41" s="66">
        <v>2520</v>
      </c>
      <c r="M41" s="66">
        <v>3683.33</v>
      </c>
      <c r="N41" s="67">
        <v>3629.15</v>
      </c>
      <c r="O41" s="68">
        <f>SUM(Tabla5[[#This Row],[Gener]:[Desembre]])</f>
        <v>32482.04</v>
      </c>
    </row>
    <row r="42" spans="1:18" x14ac:dyDescent="0.25">
      <c r="A42" s="63">
        <v>39</v>
      </c>
      <c r="B42" s="64" t="s">
        <v>54</v>
      </c>
      <c r="C42" s="65">
        <v>3693.75</v>
      </c>
      <c r="D42" s="66">
        <v>4335.1400000000003</v>
      </c>
      <c r="E42" s="66">
        <v>1874.72</v>
      </c>
      <c r="F42" s="66">
        <v>5935.06</v>
      </c>
      <c r="G42" s="66">
        <v>3049.66</v>
      </c>
      <c r="H42" s="66">
        <v>6021</v>
      </c>
      <c r="I42" s="66">
        <v>6036</v>
      </c>
      <c r="J42" s="66">
        <v>6295.26</v>
      </c>
      <c r="K42" s="66">
        <v>5297.75</v>
      </c>
      <c r="L42" s="66">
        <v>4786.67</v>
      </c>
      <c r="M42" s="66">
        <v>6360.88</v>
      </c>
      <c r="N42" s="69">
        <v>8764.17</v>
      </c>
      <c r="O42" s="68">
        <f>SUM(Tabla5[[#This Row],[Gener]:[Desembre]])</f>
        <v>62450.06</v>
      </c>
    </row>
    <row r="43" spans="1:18" x14ac:dyDescent="0.25">
      <c r="A43" s="63">
        <v>40</v>
      </c>
      <c r="B43" s="64" t="s">
        <v>55</v>
      </c>
      <c r="C43" s="65">
        <v>492.5</v>
      </c>
      <c r="D43" s="66">
        <v>674.59</v>
      </c>
      <c r="E43" s="66">
        <v>156.22999999999999</v>
      </c>
      <c r="F43" s="66">
        <v>752.73</v>
      </c>
      <c r="G43" s="66">
        <v>554.48</v>
      </c>
      <c r="H43" s="66">
        <v>249.38</v>
      </c>
      <c r="I43" s="66">
        <v>972.12</v>
      </c>
      <c r="J43" s="66">
        <v>1515.79</v>
      </c>
      <c r="K43" s="66">
        <v>929.23</v>
      </c>
      <c r="L43" s="66">
        <v>840</v>
      </c>
      <c r="M43" s="66">
        <v>566.66999999999996</v>
      </c>
      <c r="N43" s="69">
        <v>1169.45</v>
      </c>
      <c r="O43" s="68">
        <f>SUM(Tabla5[[#This Row],[Gener]:[Desembre]])</f>
        <v>8873.17</v>
      </c>
    </row>
    <row r="44" spans="1:18" ht="15.75" thickBot="1" x14ac:dyDescent="0.3">
      <c r="A44" s="70">
        <v>41</v>
      </c>
      <c r="B44" s="71" t="s">
        <v>56</v>
      </c>
      <c r="C44" s="72"/>
      <c r="D44" s="73">
        <v>0</v>
      </c>
      <c r="E44" s="73"/>
      <c r="F44" s="73"/>
      <c r="G44" s="73"/>
      <c r="H44" s="73"/>
      <c r="I44" s="73"/>
      <c r="J44" s="73"/>
      <c r="K44" s="73"/>
      <c r="L44" s="73"/>
      <c r="M44" s="73"/>
      <c r="N44" s="74"/>
      <c r="O44" s="75">
        <f>SUM(Tabla5[[#This Row],[Gener]:[Desembre]])</f>
        <v>0</v>
      </c>
      <c r="R44" s="76"/>
    </row>
    <row r="45" spans="1:18" s="4" customFormat="1" ht="15.75" thickBot="1" x14ac:dyDescent="0.3">
      <c r="A45" s="77"/>
      <c r="B45" s="78" t="s">
        <v>16</v>
      </c>
      <c r="C45" s="79">
        <f t="shared" ref="C45:N45" si="0">SUBTOTAL(109,C5:C44)</f>
        <v>715158.38000000012</v>
      </c>
      <c r="D45" s="80">
        <f t="shared" si="0"/>
        <v>444419.8600000001</v>
      </c>
      <c r="E45" s="80">
        <f t="shared" si="0"/>
        <v>553002.98999999976</v>
      </c>
      <c r="F45" s="80">
        <f t="shared" si="0"/>
        <v>509959.11999999994</v>
      </c>
      <c r="G45" s="80">
        <f t="shared" si="0"/>
        <v>462970.54000000004</v>
      </c>
      <c r="H45" s="80">
        <f t="shared" si="0"/>
        <v>606082.45000000007</v>
      </c>
      <c r="I45" s="80">
        <f t="shared" si="0"/>
        <v>665232.35</v>
      </c>
      <c r="J45" s="80">
        <f t="shared" si="0"/>
        <v>542675.20000000019</v>
      </c>
      <c r="K45" s="80">
        <f t="shared" si="0"/>
        <v>548264.05999999982</v>
      </c>
      <c r="L45" s="80">
        <f t="shared" si="0"/>
        <v>480047.67999999988</v>
      </c>
      <c r="M45" s="80">
        <f t="shared" si="0"/>
        <v>512420.74999999994</v>
      </c>
      <c r="N45" s="81">
        <f t="shared" si="0"/>
        <v>613171.46000000031</v>
      </c>
      <c r="O45" s="82">
        <f>SUBTOTAL(109,O5:O44)</f>
        <v>6653404.8399999999</v>
      </c>
    </row>
    <row r="46" spans="1:18" s="4" customFormat="1" ht="15.75" thickBot="1" x14ac:dyDescent="0.3">
      <c r="A46" s="83"/>
      <c r="B46" s="84" t="s">
        <v>63</v>
      </c>
      <c r="C46" s="85">
        <v>11261.62</v>
      </c>
      <c r="D46" s="83">
        <v>4980.13</v>
      </c>
      <c r="E46" s="83">
        <v>2157.0100000000002</v>
      </c>
      <c r="F46" s="83">
        <v>360.87</v>
      </c>
      <c r="G46" s="83">
        <v>2149.48</v>
      </c>
      <c r="H46" s="83">
        <v>5077.5600000000004</v>
      </c>
      <c r="I46" s="83">
        <v>5907.63</v>
      </c>
      <c r="J46" s="83">
        <v>7404.8</v>
      </c>
      <c r="K46" s="83">
        <v>6295.93</v>
      </c>
      <c r="L46" s="83">
        <v>4272.34</v>
      </c>
      <c r="M46" s="83">
        <v>3139.24</v>
      </c>
      <c r="N46" s="86">
        <v>4808.57</v>
      </c>
      <c r="O46" s="87">
        <f>SUM(Tabla5[[#This Row],[Gener]:[Desembre]])</f>
        <v>57815.180000000008</v>
      </c>
    </row>
    <row r="47" spans="1:18" s="4" customFormat="1" ht="15.75" thickBot="1" x14ac:dyDescent="0.3">
      <c r="A47" s="88"/>
      <c r="B47" s="89" t="s">
        <v>57</v>
      </c>
      <c r="C47" s="90">
        <f>C45+C46</f>
        <v>726420.00000000012</v>
      </c>
      <c r="D47" s="88">
        <f t="shared" ref="D47:N47" si="1">D45+D46</f>
        <v>449399.99000000011</v>
      </c>
      <c r="E47" s="88">
        <f t="shared" si="1"/>
        <v>555159.99999999977</v>
      </c>
      <c r="F47" s="88">
        <f t="shared" si="1"/>
        <v>510319.98999999993</v>
      </c>
      <c r="G47" s="88">
        <f t="shared" si="1"/>
        <v>465120.02</v>
      </c>
      <c r="H47" s="88">
        <f t="shared" si="1"/>
        <v>611160.01000000013</v>
      </c>
      <c r="I47" s="88">
        <f t="shared" si="1"/>
        <v>671139.98</v>
      </c>
      <c r="J47" s="88">
        <f t="shared" si="1"/>
        <v>550080.00000000023</v>
      </c>
      <c r="K47" s="88">
        <f t="shared" si="1"/>
        <v>554559.98999999987</v>
      </c>
      <c r="L47" s="88">
        <f t="shared" si="1"/>
        <v>484320.0199999999</v>
      </c>
      <c r="M47" s="88">
        <f t="shared" si="1"/>
        <v>515559.98999999993</v>
      </c>
      <c r="N47" s="91">
        <f t="shared" si="1"/>
        <v>617980.03000000026</v>
      </c>
      <c r="O47" s="92">
        <f>SUM(Tabla5[[#This Row],[Gener]:[Desembre]])</f>
        <v>6711220.0200000005</v>
      </c>
    </row>
    <row r="48" spans="1:18" ht="15.75" thickBot="1" x14ac:dyDescent="0.3">
      <c r="A48" s="93"/>
      <c r="B48" s="94" t="s">
        <v>58</v>
      </c>
      <c r="C48" s="95">
        <v>613339.87</v>
      </c>
      <c r="D48" s="96">
        <v>429160.02</v>
      </c>
      <c r="E48" s="96">
        <v>422099.99999999994</v>
      </c>
      <c r="F48" s="96">
        <v>464379.98999999993</v>
      </c>
      <c r="G48" s="96">
        <v>473939.96</v>
      </c>
      <c r="H48" s="96">
        <v>412300.00000000006</v>
      </c>
      <c r="I48" s="96">
        <v>549179.96999999974</v>
      </c>
      <c r="J48" s="96">
        <v>459940.02</v>
      </c>
      <c r="K48" s="96">
        <v>546939.98999999987</v>
      </c>
      <c r="L48" s="96">
        <v>542460.10000000009</v>
      </c>
      <c r="M48" s="96">
        <v>420879.99999999994</v>
      </c>
      <c r="N48" s="97">
        <v>530479.97</v>
      </c>
      <c r="O48" s="98">
        <f>SUM(Tabla5[[#This Row],[Gener]:[Desembre]])</f>
        <v>5865099.8899999997</v>
      </c>
    </row>
    <row r="49" spans="1:15" ht="15.75" thickBot="1" x14ac:dyDescent="0.3">
      <c r="A49" s="93"/>
      <c r="B49" s="99" t="s">
        <v>59</v>
      </c>
      <c r="C49" s="100">
        <f t="shared" ref="C49:O49" si="2">(C45/C48)-1</f>
        <v>0.16600667098325128</v>
      </c>
      <c r="D49" s="100">
        <f t="shared" si="2"/>
        <v>3.5557459429701899E-2</v>
      </c>
      <c r="E49" s="100">
        <f t="shared" si="2"/>
        <v>0.31012316986496047</v>
      </c>
      <c r="F49" s="100">
        <f t="shared" si="2"/>
        <v>9.8150503857842741E-2</v>
      </c>
      <c r="G49" s="100">
        <f t="shared" si="2"/>
        <v>-2.3145168008200878E-2</v>
      </c>
      <c r="H49" s="100">
        <f t="shared" si="2"/>
        <v>0.47000351685665764</v>
      </c>
      <c r="I49" s="100">
        <f t="shared" si="2"/>
        <v>0.21131939680902834</v>
      </c>
      <c r="J49" s="100">
        <f t="shared" si="2"/>
        <v>0.17988254207581278</v>
      </c>
      <c r="K49" s="100">
        <f t="shared" si="2"/>
        <v>2.4208688781377496E-3</v>
      </c>
      <c r="L49" s="100">
        <f t="shared" si="2"/>
        <v>-0.11505439754923952</v>
      </c>
      <c r="M49" s="100">
        <f t="shared" si="2"/>
        <v>0.21749845561680292</v>
      </c>
      <c r="N49" s="100">
        <f t="shared" si="2"/>
        <v>0.15588051326424313</v>
      </c>
      <c r="O49" s="100">
        <f t="shared" si="2"/>
        <v>0.13440605697851127</v>
      </c>
    </row>
  </sheetData>
  <sheetProtection sheet="1" objects="1" scenarios="1"/>
  <pageMargins left="0.19685039370078741" right="0.19685039370078741" top="0.31496062992125984" bottom="0.31496062992125984" header="0.15748031496062992" footer="0.15748031496062992"/>
  <pageSetup paperSize="9" scale="73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8"/>
  <sheetViews>
    <sheetView showZeros="0" zoomScaleNormal="100" workbookViewId="0">
      <selection activeCell="H12" sqref="H12"/>
    </sheetView>
  </sheetViews>
  <sheetFormatPr baseColWidth="10" defaultColWidth="11.42578125" defaultRowHeight="15" x14ac:dyDescent="0.25"/>
  <cols>
    <col min="1" max="1" width="5.42578125" style="1" bestFit="1" customWidth="1"/>
    <col min="2" max="2" width="26.140625" style="1" bestFit="1" customWidth="1"/>
    <col min="3" max="5" width="11.42578125" style="3"/>
    <col min="6" max="6" width="11.5703125" style="3" customWidth="1"/>
    <col min="7" max="10" width="11.42578125" style="3"/>
    <col min="11" max="11" width="11.85546875" style="3" customWidth="1"/>
    <col min="12" max="12" width="11.42578125" style="3"/>
    <col min="13" max="13" width="12.5703125" style="3" customWidth="1"/>
    <col min="14" max="14" width="12.42578125" style="3" customWidth="1"/>
    <col min="15" max="15" width="11.42578125" style="132"/>
    <col min="16" max="16384" width="11.42578125" style="1"/>
  </cols>
  <sheetData>
    <row r="1" spans="1:15" ht="15.75" x14ac:dyDescent="0.25">
      <c r="B1" s="2" t="s">
        <v>67</v>
      </c>
    </row>
    <row r="2" spans="1:15" ht="15.75" thickBot="1" x14ac:dyDescent="0.3">
      <c r="C2" s="4" t="s">
        <v>68</v>
      </c>
    </row>
    <row r="3" spans="1:15" ht="15.75" thickBot="1" x14ac:dyDescent="0.3">
      <c r="A3" s="5" t="s">
        <v>2</v>
      </c>
      <c r="B3" s="6" t="s">
        <v>3</v>
      </c>
      <c r="C3" s="54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55" t="s">
        <v>15</v>
      </c>
      <c r="O3" s="56" t="s">
        <v>16</v>
      </c>
    </row>
    <row r="4" spans="1:15" x14ac:dyDescent="0.25">
      <c r="A4" s="133">
        <v>1</v>
      </c>
      <c r="B4" s="134" t="s">
        <v>17</v>
      </c>
      <c r="C4" s="135">
        <v>27680</v>
      </c>
      <c r="D4" s="136">
        <v>26240</v>
      </c>
      <c r="E4" s="136">
        <v>30380</v>
      </c>
      <c r="F4" s="136">
        <v>41040</v>
      </c>
      <c r="G4" s="136">
        <v>39800</v>
      </c>
      <c r="H4" s="136">
        <v>40660</v>
      </c>
      <c r="I4" s="136">
        <v>38860</v>
      </c>
      <c r="J4" s="136">
        <v>50120</v>
      </c>
      <c r="K4" s="136">
        <v>33100</v>
      </c>
      <c r="L4" s="136">
        <v>37740</v>
      </c>
      <c r="M4" s="136">
        <v>35260</v>
      </c>
      <c r="N4" s="137">
        <v>30960</v>
      </c>
      <c r="O4" s="62">
        <f>SUM(Tabla8[[#This Row],[Gener]:[Desembre]])</f>
        <v>431840</v>
      </c>
    </row>
    <row r="5" spans="1:15" x14ac:dyDescent="0.25">
      <c r="A5" s="138">
        <v>2</v>
      </c>
      <c r="B5" s="139" t="s">
        <v>18</v>
      </c>
      <c r="C5" s="140"/>
      <c r="D5" s="141">
        <v>0</v>
      </c>
      <c r="E5" s="141">
        <v>0</v>
      </c>
      <c r="F5" s="141"/>
      <c r="G5" s="141"/>
      <c r="H5" s="141">
        <v>0</v>
      </c>
      <c r="I5" s="141"/>
      <c r="J5" s="141"/>
      <c r="K5" s="141"/>
      <c r="L5" s="141"/>
      <c r="M5" s="141"/>
      <c r="N5" s="142"/>
      <c r="O5" s="68">
        <v>0</v>
      </c>
    </row>
    <row r="6" spans="1:15" x14ac:dyDescent="0.25">
      <c r="A6" s="138">
        <v>3</v>
      </c>
      <c r="B6" s="139" t="s">
        <v>19</v>
      </c>
      <c r="C6" s="140"/>
      <c r="D6" s="141">
        <v>0</v>
      </c>
      <c r="E6" s="141">
        <v>0</v>
      </c>
      <c r="F6" s="141"/>
      <c r="G6" s="141"/>
      <c r="H6" s="141">
        <v>0</v>
      </c>
      <c r="I6" s="141"/>
      <c r="J6" s="141"/>
      <c r="K6" s="141"/>
      <c r="L6" s="141"/>
      <c r="M6" s="141"/>
      <c r="N6" s="142"/>
      <c r="O6" s="68">
        <v>0</v>
      </c>
    </row>
    <row r="7" spans="1:15" x14ac:dyDescent="0.25">
      <c r="A7" s="138">
        <v>4</v>
      </c>
      <c r="B7" s="139" t="s">
        <v>20</v>
      </c>
      <c r="C7" s="140">
        <v>5841.14</v>
      </c>
      <c r="D7" s="141">
        <v>7667.42</v>
      </c>
      <c r="E7" s="141">
        <v>5745.53</v>
      </c>
      <c r="F7" s="141">
        <v>2557.9699999999998</v>
      </c>
      <c r="G7" s="141">
        <v>3315.4</v>
      </c>
      <c r="H7" s="141">
        <v>5005.71</v>
      </c>
      <c r="I7" s="141">
        <v>4632.2700000000004</v>
      </c>
      <c r="J7" s="141">
        <v>6812.47</v>
      </c>
      <c r="K7" s="141">
        <v>4986.1099999999997</v>
      </c>
      <c r="L7" s="141">
        <v>3724.05</v>
      </c>
      <c r="M7" s="141">
        <v>1983.31</v>
      </c>
      <c r="N7" s="142">
        <v>4987.84</v>
      </c>
      <c r="O7" s="68">
        <f>SUM(Tabla8[[#This Row],[Gener]:[Desembre]])</f>
        <v>57259.22</v>
      </c>
    </row>
    <row r="8" spans="1:15" x14ac:dyDescent="0.25">
      <c r="A8" s="138">
        <v>5</v>
      </c>
      <c r="B8" s="139" t="s">
        <v>21</v>
      </c>
      <c r="C8" s="140"/>
      <c r="D8" s="141">
        <v>0</v>
      </c>
      <c r="E8" s="141">
        <v>0</v>
      </c>
      <c r="F8" s="141"/>
      <c r="G8" s="141"/>
      <c r="H8" s="141">
        <v>0</v>
      </c>
      <c r="I8" s="141"/>
      <c r="J8" s="141"/>
      <c r="K8" s="141"/>
      <c r="L8" s="141"/>
      <c r="M8" s="141"/>
      <c r="N8" s="142"/>
      <c r="O8" s="68">
        <v>0</v>
      </c>
    </row>
    <row r="9" spans="1:15" x14ac:dyDescent="0.25">
      <c r="A9" s="138">
        <v>6</v>
      </c>
      <c r="B9" s="139" t="s">
        <v>22</v>
      </c>
      <c r="C9" s="140">
        <v>73080</v>
      </c>
      <c r="D9" s="141">
        <v>75680</v>
      </c>
      <c r="E9" s="141">
        <v>86480</v>
      </c>
      <c r="F9" s="141">
        <v>97900</v>
      </c>
      <c r="G9" s="141">
        <v>94300</v>
      </c>
      <c r="H9" s="141">
        <v>99980</v>
      </c>
      <c r="I9" s="141">
        <v>90300</v>
      </c>
      <c r="J9" s="141">
        <v>84650</v>
      </c>
      <c r="K9" s="141">
        <v>89840</v>
      </c>
      <c r="L9" s="141">
        <v>88220</v>
      </c>
      <c r="M9" s="141">
        <v>80000</v>
      </c>
      <c r="N9" s="142">
        <v>87400</v>
      </c>
      <c r="O9" s="68">
        <f>SUM(Tabla8[[#This Row],[Gener]:[Desembre]])</f>
        <v>1047830</v>
      </c>
    </row>
    <row r="10" spans="1:15" x14ac:dyDescent="0.25">
      <c r="A10" s="138">
        <v>8</v>
      </c>
      <c r="B10" s="139" t="s">
        <v>23</v>
      </c>
      <c r="C10" s="140">
        <v>6817.61</v>
      </c>
      <c r="D10" s="141">
        <v>7274.45</v>
      </c>
      <c r="E10" s="141">
        <v>6054.83</v>
      </c>
      <c r="F10" s="141">
        <v>3050</v>
      </c>
      <c r="G10" s="141">
        <v>3532.81</v>
      </c>
      <c r="H10" s="141">
        <v>8055.38</v>
      </c>
      <c r="I10" s="141">
        <v>8974.94</v>
      </c>
      <c r="J10" s="141">
        <v>10548.63</v>
      </c>
      <c r="K10" s="141">
        <v>9302.2999999999993</v>
      </c>
      <c r="L10" s="141">
        <v>6618.86</v>
      </c>
      <c r="M10" s="141">
        <v>3095.44</v>
      </c>
      <c r="N10" s="142">
        <v>3971.77</v>
      </c>
      <c r="O10" s="68">
        <f>SUM(Tabla8[[#This Row],[Gener]:[Desembre]])</f>
        <v>77297.02</v>
      </c>
    </row>
    <row r="11" spans="1:15" x14ac:dyDescent="0.25">
      <c r="A11" s="138">
        <v>9</v>
      </c>
      <c r="B11" s="143" t="s">
        <v>24</v>
      </c>
      <c r="C11" s="140"/>
      <c r="D11" s="141">
        <v>0</v>
      </c>
      <c r="E11" s="141">
        <v>0</v>
      </c>
      <c r="F11" s="141"/>
      <c r="G11" s="141"/>
      <c r="H11" s="141">
        <v>0</v>
      </c>
      <c r="I11" s="141"/>
      <c r="J11" s="141"/>
      <c r="K11" s="141"/>
      <c r="L11" s="141"/>
      <c r="M11" s="141"/>
      <c r="N11" s="142"/>
      <c r="O11" s="75">
        <v>0</v>
      </c>
    </row>
    <row r="12" spans="1:15" x14ac:dyDescent="0.25">
      <c r="A12" s="138">
        <v>10</v>
      </c>
      <c r="B12" s="139" t="s">
        <v>25</v>
      </c>
      <c r="C12" s="140"/>
      <c r="D12" s="141">
        <v>0</v>
      </c>
      <c r="E12" s="141">
        <v>0</v>
      </c>
      <c r="F12" s="141"/>
      <c r="G12" s="141"/>
      <c r="H12" s="141">
        <v>0</v>
      </c>
      <c r="I12" s="141"/>
      <c r="J12" s="141"/>
      <c r="K12" s="141"/>
      <c r="L12" s="141"/>
      <c r="M12" s="141"/>
      <c r="N12" s="142"/>
      <c r="O12" s="68">
        <v>0</v>
      </c>
    </row>
    <row r="13" spans="1:15" x14ac:dyDescent="0.25">
      <c r="A13" s="138">
        <v>11</v>
      </c>
      <c r="B13" s="139" t="s">
        <v>26</v>
      </c>
      <c r="C13" s="140"/>
      <c r="D13" s="141">
        <v>0</v>
      </c>
      <c r="E13" s="141">
        <v>0</v>
      </c>
      <c r="F13" s="141"/>
      <c r="G13" s="141"/>
      <c r="H13" s="141">
        <v>0</v>
      </c>
      <c r="I13" s="141"/>
      <c r="J13" s="141"/>
      <c r="K13" s="141"/>
      <c r="L13" s="141"/>
      <c r="M13" s="141"/>
      <c r="N13" s="142"/>
      <c r="O13" s="68">
        <v>0</v>
      </c>
    </row>
    <row r="14" spans="1:15" x14ac:dyDescent="0.25">
      <c r="A14" s="138">
        <v>12</v>
      </c>
      <c r="B14" s="139" t="s">
        <v>27</v>
      </c>
      <c r="C14" s="140"/>
      <c r="D14" s="141">
        <v>0</v>
      </c>
      <c r="E14" s="141">
        <v>0</v>
      </c>
      <c r="F14" s="141"/>
      <c r="G14" s="141"/>
      <c r="H14" s="141">
        <v>0</v>
      </c>
      <c r="I14" s="141"/>
      <c r="J14" s="141"/>
      <c r="K14" s="141"/>
      <c r="L14" s="141"/>
      <c r="M14" s="141"/>
      <c r="N14" s="142"/>
      <c r="O14" s="68">
        <v>0</v>
      </c>
    </row>
    <row r="15" spans="1:15" x14ac:dyDescent="0.25">
      <c r="A15" s="138">
        <v>13</v>
      </c>
      <c r="B15" s="139" t="s">
        <v>28</v>
      </c>
      <c r="C15" s="140">
        <v>33880</v>
      </c>
      <c r="D15" s="141">
        <v>31640</v>
      </c>
      <c r="E15" s="141">
        <v>27620</v>
      </c>
      <c r="F15" s="141">
        <v>22640</v>
      </c>
      <c r="G15" s="141">
        <v>27320</v>
      </c>
      <c r="H15" s="141">
        <v>30220</v>
      </c>
      <c r="I15" s="141">
        <v>28980</v>
      </c>
      <c r="J15" s="141">
        <v>23200</v>
      </c>
      <c r="K15" s="141">
        <v>26360</v>
      </c>
      <c r="L15" s="141">
        <v>25560</v>
      </c>
      <c r="M15" s="141">
        <v>25880</v>
      </c>
      <c r="N15" s="142">
        <v>25940</v>
      </c>
      <c r="O15" s="68">
        <f>SUM(Tabla8[[#This Row],[Gener]:[Desembre]])</f>
        <v>329240</v>
      </c>
    </row>
    <row r="16" spans="1:15" x14ac:dyDescent="0.25">
      <c r="A16" s="138">
        <v>14</v>
      </c>
      <c r="B16" s="139" t="s">
        <v>29</v>
      </c>
      <c r="C16" s="140"/>
      <c r="D16" s="141">
        <v>0</v>
      </c>
      <c r="E16" s="141">
        <v>0</v>
      </c>
      <c r="F16" s="141"/>
      <c r="G16" s="141"/>
      <c r="H16" s="141">
        <v>0</v>
      </c>
      <c r="I16" s="141"/>
      <c r="J16" s="141"/>
      <c r="K16" s="141"/>
      <c r="L16" s="141"/>
      <c r="M16" s="141"/>
      <c r="N16" s="142"/>
      <c r="O16" s="68">
        <v>0</v>
      </c>
    </row>
    <row r="17" spans="1:15" x14ac:dyDescent="0.25">
      <c r="A17" s="138">
        <v>15</v>
      </c>
      <c r="B17" s="139" t="s">
        <v>30</v>
      </c>
      <c r="C17" s="140"/>
      <c r="D17" s="141">
        <v>0</v>
      </c>
      <c r="E17" s="141">
        <v>0</v>
      </c>
      <c r="F17" s="141"/>
      <c r="G17" s="141"/>
      <c r="H17" s="141">
        <v>0</v>
      </c>
      <c r="I17" s="141"/>
      <c r="J17" s="141"/>
      <c r="K17" s="141"/>
      <c r="L17" s="141"/>
      <c r="M17" s="141"/>
      <c r="N17" s="142"/>
      <c r="O17" s="68">
        <v>0</v>
      </c>
    </row>
    <row r="18" spans="1:15" x14ac:dyDescent="0.25">
      <c r="A18" s="138">
        <v>16</v>
      </c>
      <c r="B18" s="139" t="s">
        <v>31</v>
      </c>
      <c r="C18" s="140"/>
      <c r="D18" s="141">
        <v>0</v>
      </c>
      <c r="E18" s="141">
        <v>0</v>
      </c>
      <c r="F18" s="141"/>
      <c r="G18" s="141"/>
      <c r="H18" s="141">
        <v>0</v>
      </c>
      <c r="I18" s="141"/>
      <c r="J18" s="141"/>
      <c r="K18" s="141"/>
      <c r="L18" s="141"/>
      <c r="M18" s="141"/>
      <c r="N18" s="142"/>
      <c r="O18" s="68">
        <v>0</v>
      </c>
    </row>
    <row r="19" spans="1:15" x14ac:dyDescent="0.25">
      <c r="A19" s="138">
        <v>17</v>
      </c>
      <c r="B19" s="139" t="s">
        <v>32</v>
      </c>
      <c r="C19" s="140">
        <v>51940</v>
      </c>
      <c r="D19" s="141">
        <v>50020</v>
      </c>
      <c r="E19" s="141">
        <v>57960</v>
      </c>
      <c r="F19" s="141">
        <v>57700</v>
      </c>
      <c r="G19" s="141">
        <v>68080</v>
      </c>
      <c r="H19" s="141">
        <v>61580</v>
      </c>
      <c r="I19" s="141">
        <v>57780</v>
      </c>
      <c r="J19" s="141">
        <v>54700</v>
      </c>
      <c r="K19" s="141">
        <v>56720</v>
      </c>
      <c r="L19" s="141">
        <v>59500</v>
      </c>
      <c r="M19" s="141">
        <v>60020</v>
      </c>
      <c r="N19" s="142">
        <v>60440</v>
      </c>
      <c r="O19" s="68">
        <f>SUM(Tabla8[[#This Row],[Gener]:[Desembre]])</f>
        <v>696440</v>
      </c>
    </row>
    <row r="20" spans="1:15" x14ac:dyDescent="0.25">
      <c r="A20" s="138">
        <v>18</v>
      </c>
      <c r="B20" s="139" t="s">
        <v>33</v>
      </c>
      <c r="C20" s="140"/>
      <c r="D20" s="141">
        <v>0</v>
      </c>
      <c r="E20" s="141">
        <v>0</v>
      </c>
      <c r="F20" s="141"/>
      <c r="G20" s="141"/>
      <c r="H20" s="141">
        <v>0</v>
      </c>
      <c r="I20" s="141"/>
      <c r="J20" s="141"/>
      <c r="K20" s="141"/>
      <c r="L20" s="141"/>
      <c r="M20" s="141"/>
      <c r="N20" s="142"/>
      <c r="O20" s="68">
        <v>0</v>
      </c>
    </row>
    <row r="21" spans="1:15" x14ac:dyDescent="0.25">
      <c r="A21" s="138">
        <v>19</v>
      </c>
      <c r="B21" s="139" t="s">
        <v>34</v>
      </c>
      <c r="C21" s="140">
        <f>26420+13060</f>
        <v>39480</v>
      </c>
      <c r="D21" s="141">
        <v>35580</v>
      </c>
      <c r="E21" s="141">
        <v>30880</v>
      </c>
      <c r="F21" s="141">
        <f>27880+5100</f>
        <v>32980</v>
      </c>
      <c r="G21" s="141">
        <f>33120+6560</f>
        <v>39680</v>
      </c>
      <c r="H21" s="141">
        <v>38580</v>
      </c>
      <c r="I21" s="141">
        <v>38360</v>
      </c>
      <c r="J21" s="141">
        <v>31360</v>
      </c>
      <c r="K21" s="141">
        <v>36360</v>
      </c>
      <c r="L21" s="141">
        <f>26480+7480</f>
        <v>33960</v>
      </c>
      <c r="M21" s="141">
        <f>28100+7420</f>
        <v>35520</v>
      </c>
      <c r="N21" s="142">
        <v>30960</v>
      </c>
      <c r="O21" s="68">
        <f>SUM(Tabla8[[#This Row],[Gener]:[Desembre]])</f>
        <v>423700</v>
      </c>
    </row>
    <row r="22" spans="1:15" x14ac:dyDescent="0.25">
      <c r="A22" s="138">
        <v>20</v>
      </c>
      <c r="B22" s="139" t="s">
        <v>35</v>
      </c>
      <c r="C22" s="140"/>
      <c r="D22" s="141">
        <v>0</v>
      </c>
      <c r="E22" s="141">
        <v>0</v>
      </c>
      <c r="F22" s="141"/>
      <c r="G22" s="141"/>
      <c r="H22" s="141">
        <v>0</v>
      </c>
      <c r="I22" s="141"/>
      <c r="J22" s="141"/>
      <c r="K22" s="141"/>
      <c r="L22" s="141"/>
      <c r="M22" s="141"/>
      <c r="N22" s="142"/>
      <c r="O22" s="68">
        <v>0</v>
      </c>
    </row>
    <row r="23" spans="1:15" x14ac:dyDescent="0.25">
      <c r="A23" s="138">
        <v>21</v>
      </c>
      <c r="B23" s="139" t="s">
        <v>36</v>
      </c>
      <c r="C23" s="140">
        <v>3360.15</v>
      </c>
      <c r="D23" s="141">
        <v>3755.1</v>
      </c>
      <c r="E23" s="141">
        <v>3341.26</v>
      </c>
      <c r="F23" s="141">
        <v>1999.92</v>
      </c>
      <c r="G23" s="141">
        <v>1420.88</v>
      </c>
      <c r="H23" s="141">
        <v>4077.92</v>
      </c>
      <c r="I23" s="141">
        <v>3429.59</v>
      </c>
      <c r="J23" s="141">
        <v>5465.6</v>
      </c>
      <c r="K23" s="141">
        <v>4161.72</v>
      </c>
      <c r="L23" s="141">
        <v>3250.1</v>
      </c>
      <c r="M23" s="141">
        <v>1620.45</v>
      </c>
      <c r="N23" s="142">
        <v>2267.7600000000002</v>
      </c>
      <c r="O23" s="68">
        <f>SUM(Tabla8[[#This Row],[Gener]:[Desembre]])</f>
        <v>38150.450000000004</v>
      </c>
    </row>
    <row r="24" spans="1:15" x14ac:dyDescent="0.25">
      <c r="A24" s="138">
        <v>22</v>
      </c>
      <c r="B24" s="139" t="s">
        <v>37</v>
      </c>
      <c r="C24" s="140"/>
      <c r="D24" s="141">
        <v>0</v>
      </c>
      <c r="E24" s="141">
        <v>0</v>
      </c>
      <c r="F24" s="141"/>
      <c r="G24" s="141"/>
      <c r="H24" s="141">
        <v>0</v>
      </c>
      <c r="I24" s="141"/>
      <c r="J24" s="141"/>
      <c r="K24" s="141"/>
      <c r="L24" s="141"/>
      <c r="M24" s="141"/>
      <c r="N24" s="142"/>
      <c r="O24" s="68">
        <v>0</v>
      </c>
    </row>
    <row r="25" spans="1:15" x14ac:dyDescent="0.25">
      <c r="A25" s="138">
        <v>23</v>
      </c>
      <c r="B25" s="139" t="s">
        <v>38</v>
      </c>
      <c r="C25" s="140"/>
      <c r="D25" s="141">
        <v>0</v>
      </c>
      <c r="E25" s="141">
        <v>0</v>
      </c>
      <c r="F25" s="141"/>
      <c r="G25" s="141"/>
      <c r="H25" s="141">
        <v>0</v>
      </c>
      <c r="I25" s="141"/>
      <c r="J25" s="141"/>
      <c r="K25" s="141"/>
      <c r="L25" s="141"/>
      <c r="M25" s="141"/>
      <c r="N25" s="142"/>
      <c r="O25" s="68">
        <v>0</v>
      </c>
    </row>
    <row r="26" spans="1:15" x14ac:dyDescent="0.25">
      <c r="A26" s="138">
        <v>24</v>
      </c>
      <c r="B26" s="139" t="s">
        <v>39</v>
      </c>
      <c r="C26" s="140">
        <f>33260+32420</f>
        <v>65680</v>
      </c>
      <c r="D26" s="141">
        <v>66560</v>
      </c>
      <c r="E26" s="141">
        <v>81980</v>
      </c>
      <c r="F26" s="141">
        <f>43540+67160</f>
        <v>110700</v>
      </c>
      <c r="G26" s="141">
        <f>48940+73940</f>
        <v>122880</v>
      </c>
      <c r="H26" s="141">
        <v>115620</v>
      </c>
      <c r="I26" s="141">
        <v>109280</v>
      </c>
      <c r="J26" s="141">
        <v>102240</v>
      </c>
      <c r="K26" s="141">
        <v>93260</v>
      </c>
      <c r="L26" s="141">
        <f>2280+36020+44500</f>
        <v>82800</v>
      </c>
      <c r="M26" s="141">
        <f>35520+53260</f>
        <v>88780</v>
      </c>
      <c r="N26" s="142">
        <v>73800</v>
      </c>
      <c r="O26" s="68">
        <f>SUM(Tabla8[[#This Row],[Gener]:[Desembre]])</f>
        <v>1113580</v>
      </c>
    </row>
    <row r="27" spans="1:15" x14ac:dyDescent="0.25">
      <c r="A27" s="138">
        <v>25</v>
      </c>
      <c r="B27" s="139" t="s">
        <v>40</v>
      </c>
      <c r="C27" s="140"/>
      <c r="D27" s="141">
        <v>0</v>
      </c>
      <c r="E27" s="141">
        <v>0</v>
      </c>
      <c r="F27" s="141"/>
      <c r="G27" s="141"/>
      <c r="H27" s="141">
        <v>0</v>
      </c>
      <c r="I27" s="141"/>
      <c r="J27" s="141"/>
      <c r="K27" s="141"/>
      <c r="L27" s="141"/>
      <c r="M27" s="141"/>
      <c r="N27" s="142"/>
      <c r="O27" s="68">
        <v>0</v>
      </c>
    </row>
    <row r="28" spans="1:15" x14ac:dyDescent="0.25">
      <c r="A28" s="138">
        <v>26</v>
      </c>
      <c r="B28" s="139" t="s">
        <v>41</v>
      </c>
      <c r="C28" s="140">
        <v>29640</v>
      </c>
      <c r="D28" s="141">
        <v>28720</v>
      </c>
      <c r="E28" s="141">
        <v>35340</v>
      </c>
      <c r="F28" s="141">
        <v>36740</v>
      </c>
      <c r="G28" s="141">
        <v>38800</v>
      </c>
      <c r="H28" s="141">
        <v>38860</v>
      </c>
      <c r="I28" s="141">
        <v>41400</v>
      </c>
      <c r="J28" s="141">
        <v>36480</v>
      </c>
      <c r="K28" s="141">
        <v>35440</v>
      </c>
      <c r="L28" s="141">
        <v>32640</v>
      </c>
      <c r="M28" s="141">
        <v>33120</v>
      </c>
      <c r="N28" s="142">
        <v>31960</v>
      </c>
      <c r="O28" s="68">
        <f>SUM(Tabla8[[#This Row],[Gener]:[Desembre]])</f>
        <v>419140</v>
      </c>
    </row>
    <row r="29" spans="1:15" x14ac:dyDescent="0.25">
      <c r="A29" s="138">
        <v>27</v>
      </c>
      <c r="B29" s="139" t="s">
        <v>42</v>
      </c>
      <c r="C29" s="140"/>
      <c r="D29" s="141">
        <v>0</v>
      </c>
      <c r="E29" s="141">
        <v>0</v>
      </c>
      <c r="F29" s="141"/>
      <c r="G29" s="141"/>
      <c r="H29" s="141">
        <v>0</v>
      </c>
      <c r="I29" s="141"/>
      <c r="J29" s="141"/>
      <c r="K29" s="141"/>
      <c r="L29" s="141"/>
      <c r="M29" s="141"/>
      <c r="N29" s="142"/>
      <c r="O29" s="68">
        <f>SUM(Tabla8[[#This Row],[Gener]:[Desembre]])</f>
        <v>0</v>
      </c>
    </row>
    <row r="30" spans="1:15" x14ac:dyDescent="0.25">
      <c r="A30" s="138">
        <v>28</v>
      </c>
      <c r="B30" s="139" t="s">
        <v>43</v>
      </c>
      <c r="C30" s="140"/>
      <c r="D30" s="141">
        <v>0</v>
      </c>
      <c r="E30" s="141">
        <v>0</v>
      </c>
      <c r="F30" s="141"/>
      <c r="G30" s="141"/>
      <c r="H30" s="141">
        <v>0</v>
      </c>
      <c r="I30" s="141"/>
      <c r="J30" s="141"/>
      <c r="K30" s="141"/>
      <c r="L30" s="141"/>
      <c r="M30" s="141"/>
      <c r="N30" s="142"/>
      <c r="O30" s="68">
        <v>0</v>
      </c>
    </row>
    <row r="31" spans="1:15" x14ac:dyDescent="0.25">
      <c r="A31" s="138">
        <v>29</v>
      </c>
      <c r="B31" s="139" t="s">
        <v>44</v>
      </c>
      <c r="C31" s="140">
        <v>601.11</v>
      </c>
      <c r="D31" s="141">
        <v>323.02</v>
      </c>
      <c r="E31" s="141">
        <v>378.38</v>
      </c>
      <c r="F31" s="141">
        <v>252.11</v>
      </c>
      <c r="G31" s="141">
        <v>350.91</v>
      </c>
      <c r="H31" s="141">
        <v>860.99</v>
      </c>
      <c r="I31" s="141">
        <v>1023.21</v>
      </c>
      <c r="J31" s="141">
        <v>1193.3</v>
      </c>
      <c r="K31" s="141">
        <v>1389.86</v>
      </c>
      <c r="L31" s="141">
        <v>966.99</v>
      </c>
      <c r="M31" s="141">
        <v>440.8</v>
      </c>
      <c r="N31" s="142">
        <v>372.63</v>
      </c>
      <c r="O31" s="68">
        <f>SUM(Tabla8[[#This Row],[Gener]:[Desembre]])</f>
        <v>8153.3099999999995</v>
      </c>
    </row>
    <row r="32" spans="1:15" x14ac:dyDescent="0.25">
      <c r="A32" s="138">
        <v>30</v>
      </c>
      <c r="B32" s="139" t="s">
        <v>45</v>
      </c>
      <c r="C32" s="140">
        <v>56440</v>
      </c>
      <c r="D32" s="141">
        <v>55320</v>
      </c>
      <c r="E32" s="141">
        <v>60180</v>
      </c>
      <c r="F32" s="141">
        <v>67380</v>
      </c>
      <c r="G32" s="141">
        <v>72500</v>
      </c>
      <c r="H32" s="141">
        <v>70160</v>
      </c>
      <c r="I32" s="141">
        <v>71400</v>
      </c>
      <c r="J32" s="141">
        <v>65120</v>
      </c>
      <c r="K32" s="141">
        <v>61500</v>
      </c>
      <c r="L32" s="141">
        <v>59840</v>
      </c>
      <c r="M32" s="141">
        <v>62480</v>
      </c>
      <c r="N32" s="142">
        <v>58400</v>
      </c>
      <c r="O32" s="68">
        <f>SUM(Tabla8[[#This Row],[Gener]:[Desembre]])</f>
        <v>760720</v>
      </c>
    </row>
    <row r="33" spans="1:15" x14ac:dyDescent="0.25">
      <c r="A33" s="138">
        <v>31</v>
      </c>
      <c r="B33" s="139" t="s">
        <v>46</v>
      </c>
      <c r="C33" s="140">
        <v>8480</v>
      </c>
      <c r="D33" s="141">
        <v>8260</v>
      </c>
      <c r="E33" s="141">
        <v>9640</v>
      </c>
      <c r="F33" s="141">
        <v>10640</v>
      </c>
      <c r="G33" s="141">
        <v>11960</v>
      </c>
      <c r="H33" s="141">
        <v>10620</v>
      </c>
      <c r="I33" s="141">
        <v>10120</v>
      </c>
      <c r="J33" s="141">
        <v>8820</v>
      </c>
      <c r="K33" s="141">
        <v>8960</v>
      </c>
      <c r="L33" s="141">
        <v>9440</v>
      </c>
      <c r="M33" s="141">
        <v>10180</v>
      </c>
      <c r="N33" s="142">
        <v>8520</v>
      </c>
      <c r="O33" s="68">
        <f>SUM(Tabla8[[#This Row],[Gener]:[Desembre]])</f>
        <v>115640</v>
      </c>
    </row>
    <row r="34" spans="1:15" x14ac:dyDescent="0.25">
      <c r="A34" s="138">
        <v>32</v>
      </c>
      <c r="B34" s="139" t="s">
        <v>47</v>
      </c>
      <c r="C34" s="140"/>
      <c r="D34" s="141">
        <v>0</v>
      </c>
      <c r="E34" s="141">
        <v>0</v>
      </c>
      <c r="F34" s="141"/>
      <c r="G34" s="141"/>
      <c r="H34" s="141">
        <v>0</v>
      </c>
      <c r="I34" s="141"/>
      <c r="J34" s="141"/>
      <c r="K34" s="141"/>
      <c r="L34" s="141"/>
      <c r="M34" s="141"/>
      <c r="N34" s="142"/>
      <c r="O34" s="68">
        <v>0</v>
      </c>
    </row>
    <row r="35" spans="1:15" x14ac:dyDescent="0.25">
      <c r="A35" s="138">
        <v>33</v>
      </c>
      <c r="B35" s="139" t="s">
        <v>48</v>
      </c>
      <c r="C35" s="140"/>
      <c r="D35" s="141">
        <v>0</v>
      </c>
      <c r="E35" s="141">
        <v>0</v>
      </c>
      <c r="F35" s="141"/>
      <c r="G35" s="141"/>
      <c r="H35" s="141">
        <v>0</v>
      </c>
      <c r="I35" s="141"/>
      <c r="J35" s="141"/>
      <c r="K35" s="141"/>
      <c r="L35" s="141"/>
      <c r="M35" s="141"/>
      <c r="N35" s="142"/>
      <c r="O35" s="68">
        <v>0</v>
      </c>
    </row>
    <row r="36" spans="1:15" x14ac:dyDescent="0.25">
      <c r="A36" s="138">
        <v>34</v>
      </c>
      <c r="B36" s="139" t="s">
        <v>49</v>
      </c>
      <c r="C36" s="140">
        <v>10192.66</v>
      </c>
      <c r="D36" s="141">
        <v>9394.5300000000007</v>
      </c>
      <c r="E36" s="141">
        <v>13184.61</v>
      </c>
      <c r="F36" s="141">
        <v>16614.54</v>
      </c>
      <c r="G36" s="141">
        <v>15954.65</v>
      </c>
      <c r="H36" s="141">
        <v>16636.89</v>
      </c>
      <c r="I36" s="141">
        <v>15125.9</v>
      </c>
      <c r="J36" s="141">
        <v>15429.76</v>
      </c>
      <c r="K36" s="141">
        <v>12414.05</v>
      </c>
      <c r="L36" s="141">
        <v>11748.22</v>
      </c>
      <c r="M36" s="141">
        <v>12317.5</v>
      </c>
      <c r="N36" s="142">
        <v>9766.1</v>
      </c>
      <c r="O36" s="68">
        <f>SUM(Tabla8[[#This Row],[Gener]:[Desembre]])</f>
        <v>158779.41</v>
      </c>
    </row>
    <row r="37" spans="1:15" x14ac:dyDescent="0.25">
      <c r="A37" s="138">
        <v>35</v>
      </c>
      <c r="B37" s="139" t="s">
        <v>50</v>
      </c>
      <c r="C37" s="140"/>
      <c r="D37" s="141">
        <v>0</v>
      </c>
      <c r="E37" s="141">
        <v>0</v>
      </c>
      <c r="F37" s="141"/>
      <c r="G37" s="141"/>
      <c r="H37" s="141">
        <v>0</v>
      </c>
      <c r="I37" s="141"/>
      <c r="J37" s="141"/>
      <c r="K37" s="141"/>
      <c r="L37" s="141"/>
      <c r="M37" s="141"/>
      <c r="N37" s="142"/>
      <c r="O37" s="68">
        <v>0</v>
      </c>
    </row>
    <row r="38" spans="1:15" x14ac:dyDescent="0.25">
      <c r="A38" s="138">
        <v>36</v>
      </c>
      <c r="B38" s="139" t="s">
        <v>51</v>
      </c>
      <c r="C38" s="140">
        <v>3967.37</v>
      </c>
      <c r="D38" s="141">
        <v>2605.4699999999998</v>
      </c>
      <c r="E38" s="141">
        <v>3795.39</v>
      </c>
      <c r="F38" s="141">
        <v>3945.46</v>
      </c>
      <c r="G38" s="141">
        <v>4345.3500000000004</v>
      </c>
      <c r="H38" s="141">
        <v>4563.1099999999997</v>
      </c>
      <c r="I38" s="141">
        <v>5014.1000000000004</v>
      </c>
      <c r="J38" s="141">
        <v>4390.24</v>
      </c>
      <c r="K38" s="141">
        <v>3565.95</v>
      </c>
      <c r="L38" s="141">
        <v>3451.78</v>
      </c>
      <c r="M38" s="141">
        <v>3602.5</v>
      </c>
      <c r="N38" s="142">
        <v>2893.9</v>
      </c>
      <c r="O38" s="68">
        <f>SUM(Tabla8[[#This Row],[Gener]:[Desembre]])</f>
        <v>46140.619999999995</v>
      </c>
    </row>
    <row r="39" spans="1:15" x14ac:dyDescent="0.25">
      <c r="A39" s="138">
        <v>37</v>
      </c>
      <c r="B39" s="139" t="s">
        <v>52</v>
      </c>
      <c r="C39" s="140"/>
      <c r="D39" s="141">
        <v>0</v>
      </c>
      <c r="E39" s="141">
        <v>0</v>
      </c>
      <c r="F39" s="141"/>
      <c r="G39" s="141"/>
      <c r="H39" s="141">
        <v>0</v>
      </c>
      <c r="I39" s="141"/>
      <c r="J39" s="141"/>
      <c r="K39" s="141"/>
      <c r="L39" s="141"/>
      <c r="M39" s="141"/>
      <c r="N39" s="142"/>
      <c r="O39" s="68">
        <v>0</v>
      </c>
    </row>
    <row r="40" spans="1:15" x14ac:dyDescent="0.25">
      <c r="A40" s="138">
        <v>38</v>
      </c>
      <c r="B40" s="139" t="s">
        <v>53</v>
      </c>
      <c r="C40" s="140"/>
      <c r="D40" s="141">
        <v>0</v>
      </c>
      <c r="E40" s="141">
        <v>0</v>
      </c>
      <c r="F40" s="141"/>
      <c r="G40" s="141"/>
      <c r="H40" s="141">
        <v>0</v>
      </c>
      <c r="I40" s="141"/>
      <c r="J40" s="141"/>
      <c r="K40" s="141"/>
      <c r="L40" s="141"/>
      <c r="M40" s="141"/>
      <c r="N40" s="142"/>
      <c r="O40" s="68">
        <v>0</v>
      </c>
    </row>
    <row r="41" spans="1:15" x14ac:dyDescent="0.25">
      <c r="A41" s="138">
        <v>39</v>
      </c>
      <c r="B41" s="139" t="s">
        <v>54</v>
      </c>
      <c r="C41" s="140">
        <v>23700</v>
      </c>
      <c r="D41" s="141">
        <v>24000</v>
      </c>
      <c r="E41" s="141">
        <v>25880</v>
      </c>
      <c r="F41" s="141">
        <v>28020</v>
      </c>
      <c r="G41" s="141">
        <v>30460</v>
      </c>
      <c r="H41" s="141">
        <v>33040</v>
      </c>
      <c r="I41" s="141">
        <v>35560</v>
      </c>
      <c r="J41" s="141">
        <v>38124</v>
      </c>
      <c r="K41" s="141">
        <v>31340</v>
      </c>
      <c r="L41" s="141">
        <v>27260</v>
      </c>
      <c r="M41" s="141">
        <v>25320</v>
      </c>
      <c r="N41" s="142">
        <v>27240</v>
      </c>
      <c r="O41" s="68">
        <f>SUM(Tabla8[[#This Row],[Gener]:[Desembre]])</f>
        <v>349944</v>
      </c>
    </row>
    <row r="42" spans="1:15" x14ac:dyDescent="0.25">
      <c r="A42" s="138">
        <v>40</v>
      </c>
      <c r="B42" s="139" t="s">
        <v>55</v>
      </c>
      <c r="C42" s="140"/>
      <c r="D42" s="141">
        <v>0</v>
      </c>
      <c r="E42" s="141">
        <v>0</v>
      </c>
      <c r="F42" s="141"/>
      <c r="G42" s="141"/>
      <c r="H42" s="141">
        <v>0</v>
      </c>
      <c r="I42" s="141"/>
      <c r="J42" s="141"/>
      <c r="K42" s="141"/>
      <c r="L42" s="141"/>
      <c r="M42" s="141"/>
      <c r="N42" s="142"/>
      <c r="O42" s="68">
        <v>0</v>
      </c>
    </row>
    <row r="43" spans="1:15" ht="15.75" thickBot="1" x14ac:dyDescent="0.3">
      <c r="A43" s="144">
        <v>41</v>
      </c>
      <c r="B43" s="145" t="s">
        <v>56</v>
      </c>
      <c r="C43" s="146"/>
      <c r="D43" s="147">
        <v>0</v>
      </c>
      <c r="E43" s="147">
        <v>0</v>
      </c>
      <c r="F43" s="147"/>
      <c r="G43" s="147"/>
      <c r="H43" s="147">
        <v>0</v>
      </c>
      <c r="I43" s="147"/>
      <c r="J43" s="147"/>
      <c r="K43" s="147"/>
      <c r="L43" s="147"/>
      <c r="M43" s="147"/>
      <c r="N43" s="148"/>
      <c r="O43" s="75">
        <f>SUM(Tabla8[[#This Row],[Gener]:[Desembre]])</f>
        <v>0</v>
      </c>
    </row>
    <row r="44" spans="1:15" s="4" customFormat="1" ht="15.75" thickBot="1" x14ac:dyDescent="0.3">
      <c r="A44" s="149"/>
      <c r="B44" s="6" t="s">
        <v>57</v>
      </c>
      <c r="C44" s="150">
        <f t="shared" ref="C44:N44" si="0">SUBTOTAL(109,C4:C43)</f>
        <v>440780.04</v>
      </c>
      <c r="D44" s="151">
        <f t="shared" si="0"/>
        <v>433039.99</v>
      </c>
      <c r="E44" s="151">
        <f t="shared" si="0"/>
        <v>478840</v>
      </c>
      <c r="F44" s="151">
        <f t="shared" si="0"/>
        <v>534160</v>
      </c>
      <c r="G44" s="151">
        <f t="shared" si="0"/>
        <v>574699.99999999988</v>
      </c>
      <c r="H44" s="151">
        <f t="shared" si="0"/>
        <v>578519.99999999988</v>
      </c>
      <c r="I44" s="151">
        <f t="shared" si="0"/>
        <v>560240.01000000013</v>
      </c>
      <c r="J44" s="151">
        <f>SUBTOTAL(109,J4:J43)</f>
        <v>538654</v>
      </c>
      <c r="K44" s="151">
        <f t="shared" si="0"/>
        <v>508699.99</v>
      </c>
      <c r="L44" s="151">
        <f t="shared" si="0"/>
        <v>486720</v>
      </c>
      <c r="M44" s="151">
        <f t="shared" si="0"/>
        <v>479620</v>
      </c>
      <c r="N44" s="151">
        <f t="shared" si="0"/>
        <v>459880</v>
      </c>
      <c r="O44" s="56">
        <f>SUM(Tabla8[[#This Row],[Gener]:[Desembre]])</f>
        <v>6073854.0300000003</v>
      </c>
    </row>
    <row r="45" spans="1:15" ht="15.75" thickBot="1" x14ac:dyDescent="0.3">
      <c r="A45" s="149"/>
      <c r="B45" s="94" t="s">
        <v>58</v>
      </c>
      <c r="C45" s="95">
        <v>405240</v>
      </c>
      <c r="D45" s="96">
        <v>382840</v>
      </c>
      <c r="E45" s="96">
        <v>437290.01</v>
      </c>
      <c r="F45" s="96">
        <v>452979.99</v>
      </c>
      <c r="G45" s="96">
        <v>513380</v>
      </c>
      <c r="H45" s="96">
        <v>485940.01</v>
      </c>
      <c r="I45" s="96">
        <v>532980.03</v>
      </c>
      <c r="J45" s="96">
        <v>474860</v>
      </c>
      <c r="K45" s="96">
        <v>485100</v>
      </c>
      <c r="L45" s="96">
        <v>472620</v>
      </c>
      <c r="M45" s="96">
        <v>436300</v>
      </c>
      <c r="N45" s="128">
        <v>479600.01</v>
      </c>
      <c r="O45" s="129">
        <f>SUM(Tabla8[[#This Row],[Gener]:[Desembre]])</f>
        <v>5559130.0499999998</v>
      </c>
    </row>
    <row r="46" spans="1:15" ht="15.75" thickBot="1" x14ac:dyDescent="0.3">
      <c r="A46" s="149"/>
      <c r="B46" s="152" t="s">
        <v>59</v>
      </c>
      <c r="C46" s="153">
        <f t="shared" ref="C46:O46" si="1">(C44/C45)-1</f>
        <v>8.770121409535081E-2</v>
      </c>
      <c r="D46" s="154">
        <f t="shared" si="1"/>
        <v>0.13112524814543924</v>
      </c>
      <c r="E46" s="154">
        <f t="shared" si="1"/>
        <v>9.5017011708088184E-2</v>
      </c>
      <c r="F46" s="154">
        <f t="shared" si="1"/>
        <v>0.17921323632860697</v>
      </c>
      <c r="G46" s="154">
        <f t="shared" si="1"/>
        <v>0.11944368693755081</v>
      </c>
      <c r="H46" s="154">
        <f t="shared" si="1"/>
        <v>0.19051732332145255</v>
      </c>
      <c r="I46" s="154">
        <f t="shared" si="1"/>
        <v>5.1146344075968742E-2</v>
      </c>
      <c r="J46" s="154">
        <f t="shared" si="1"/>
        <v>0.13434275365370851</v>
      </c>
      <c r="K46" s="154">
        <f t="shared" si="1"/>
        <v>4.8649742321170919E-2</v>
      </c>
      <c r="L46" s="154">
        <f t="shared" si="1"/>
        <v>2.9833693030341557E-2</v>
      </c>
      <c r="M46" s="154">
        <f t="shared" si="1"/>
        <v>9.928947971579194E-2</v>
      </c>
      <c r="N46" s="154">
        <f t="shared" si="1"/>
        <v>-4.1117617991709432E-2</v>
      </c>
      <c r="O46" s="155">
        <f t="shared" si="1"/>
        <v>9.2590742682841176E-2</v>
      </c>
    </row>
    <row r="49" spans="15:16" x14ac:dyDescent="0.25">
      <c r="O49" s="3"/>
    </row>
    <row r="50" spans="15:16" x14ac:dyDescent="0.25">
      <c r="O50" s="3"/>
      <c r="P50" s="52"/>
    </row>
    <row r="51" spans="15:16" x14ac:dyDescent="0.25">
      <c r="P51" s="52"/>
    </row>
    <row r="52" spans="15:16" x14ac:dyDescent="0.25">
      <c r="P52" s="52"/>
    </row>
    <row r="53" spans="15:16" x14ac:dyDescent="0.25">
      <c r="P53" s="52"/>
    </row>
    <row r="54" spans="15:16" x14ac:dyDescent="0.25">
      <c r="P54" s="52"/>
    </row>
    <row r="55" spans="15:16" x14ac:dyDescent="0.25">
      <c r="P55" s="52"/>
    </row>
    <row r="56" spans="15:16" x14ac:dyDescent="0.25">
      <c r="O56" s="4"/>
    </row>
    <row r="57" spans="15:16" x14ac:dyDescent="0.25">
      <c r="O57" s="4"/>
    </row>
    <row r="58" spans="15:16" x14ac:dyDescent="0.25">
      <c r="O58" s="4"/>
    </row>
  </sheetData>
  <sheetProtection sheet="1" objects="1" scenarios="1"/>
  <conditionalFormatting sqref="C46:O46">
    <cfRule type="cellIs" dxfId="0" priority="1" operator="lessThan">
      <formula>0</formula>
    </cfRule>
  </conditionalFormatting>
  <pageMargins left="0.23622047244094491" right="0.23622047244094491" top="0.51" bottom="0.18" header="0.19685039370078741" footer="0.19"/>
  <pageSetup paperSize="9" scale="77" orientation="landscape" copies="5" r:id="rId1"/>
  <headerFooter>
    <oddHeader>&amp;L&amp;"Calibri,Normal"&amp;G&amp;C&amp;"Calibri,Normal"&amp;F&amp;R&amp;"Calibri,Normal"&amp;G</oddHeader>
    <oddFooter>&amp;L&amp;"Calibri,Normal"&amp;D&amp;C&amp;"Calibri,Normal"&amp;A&amp;R&amp;"Calibri,Normal"&amp;P de&amp;N</oddFooter>
  </headerFooter>
  <drawing r:id="rId2"/>
  <legacyDrawingHF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5"/>
  <sheetViews>
    <sheetView showZeros="0" zoomScaleNormal="100" workbookViewId="0">
      <selection activeCell="H21" sqref="H21"/>
    </sheetView>
  </sheetViews>
  <sheetFormatPr baseColWidth="10" defaultColWidth="11.42578125" defaultRowHeight="15" x14ac:dyDescent="0.25"/>
  <cols>
    <col min="1" max="1" width="5.5703125" style="1" customWidth="1"/>
    <col min="2" max="2" width="26.140625" style="1" bestFit="1" customWidth="1"/>
    <col min="3" max="14" width="11.5703125" style="3" customWidth="1"/>
    <col min="15" max="15" width="11.42578125" style="132"/>
    <col min="16" max="16384" width="11.42578125" style="1"/>
  </cols>
  <sheetData>
    <row r="1" spans="1:15" ht="15.75" x14ac:dyDescent="0.25">
      <c r="B1" s="2" t="s">
        <v>69</v>
      </c>
    </row>
    <row r="2" spans="1:15" ht="15.75" thickBot="1" x14ac:dyDescent="0.3">
      <c r="C2" s="4" t="s">
        <v>70</v>
      </c>
    </row>
    <row r="3" spans="1:15" ht="15.75" thickBot="1" x14ac:dyDescent="0.3">
      <c r="A3" s="156" t="s">
        <v>2</v>
      </c>
      <c r="B3" s="157" t="s">
        <v>3</v>
      </c>
      <c r="C3" s="158" t="s">
        <v>4</v>
      </c>
      <c r="D3" s="159" t="s">
        <v>5</v>
      </c>
      <c r="E3" s="159" t="s">
        <v>6</v>
      </c>
      <c r="F3" s="159" t="s">
        <v>7</v>
      </c>
      <c r="G3" s="159" t="s">
        <v>8</v>
      </c>
      <c r="H3" s="159" t="s">
        <v>9</v>
      </c>
      <c r="I3" s="159" t="s">
        <v>10</v>
      </c>
      <c r="J3" s="159" t="s">
        <v>11</v>
      </c>
      <c r="K3" s="159" t="s">
        <v>12</v>
      </c>
      <c r="L3" s="159" t="s">
        <v>13</v>
      </c>
      <c r="M3" s="159" t="s">
        <v>14</v>
      </c>
      <c r="N3" s="160" t="s">
        <v>15</v>
      </c>
      <c r="O3" s="161" t="s">
        <v>16</v>
      </c>
    </row>
    <row r="4" spans="1:15" x14ac:dyDescent="0.25">
      <c r="A4" s="162">
        <v>1</v>
      </c>
      <c r="B4" s="163" t="s">
        <v>17</v>
      </c>
      <c r="C4" s="164">
        <v>224680</v>
      </c>
      <c r="D4" s="165">
        <v>205960</v>
      </c>
      <c r="E4" s="165">
        <v>246900</v>
      </c>
      <c r="F4" s="165">
        <v>286100</v>
      </c>
      <c r="G4" s="165">
        <v>282960</v>
      </c>
      <c r="H4" s="165">
        <v>287840</v>
      </c>
      <c r="I4" s="165">
        <v>257980</v>
      </c>
      <c r="J4" s="165">
        <v>247320</v>
      </c>
      <c r="K4" s="165">
        <v>238860</v>
      </c>
      <c r="L4" s="165">
        <v>230160</v>
      </c>
      <c r="M4" s="165">
        <v>230680</v>
      </c>
      <c r="N4" s="166">
        <v>236780</v>
      </c>
      <c r="O4" s="167">
        <f>SUM(Tabla12[[#This Row],[Gener]:[Desembre]])</f>
        <v>2976220</v>
      </c>
    </row>
    <row r="5" spans="1:15" x14ac:dyDescent="0.25">
      <c r="A5" s="168">
        <v>2</v>
      </c>
      <c r="B5" s="163" t="s">
        <v>18</v>
      </c>
      <c r="C5" s="169"/>
      <c r="D5" s="170">
        <v>0</v>
      </c>
      <c r="E5" s="170"/>
      <c r="F5" s="170"/>
      <c r="G5" s="170"/>
      <c r="H5" s="170"/>
      <c r="I5" s="170"/>
      <c r="J5" s="170">
        <v>0</v>
      </c>
      <c r="K5" s="170"/>
      <c r="L5" s="170"/>
      <c r="M5" s="170"/>
      <c r="N5" s="171"/>
      <c r="O5" s="172">
        <v>0</v>
      </c>
    </row>
    <row r="6" spans="1:15" x14ac:dyDescent="0.25">
      <c r="A6" s="168">
        <v>3</v>
      </c>
      <c r="B6" s="163" t="s">
        <v>19</v>
      </c>
      <c r="C6" s="169"/>
      <c r="D6" s="170">
        <v>0</v>
      </c>
      <c r="E6" s="170"/>
      <c r="F6" s="170"/>
      <c r="G6" s="170"/>
      <c r="H6" s="170"/>
      <c r="I6" s="170"/>
      <c r="J6" s="170">
        <v>0</v>
      </c>
      <c r="K6" s="170"/>
      <c r="L6" s="170"/>
      <c r="M6" s="170"/>
      <c r="N6" s="171"/>
      <c r="O6" s="172">
        <v>0</v>
      </c>
    </row>
    <row r="7" spans="1:15" x14ac:dyDescent="0.25">
      <c r="A7" s="168">
        <v>4</v>
      </c>
      <c r="B7" s="163" t="s">
        <v>20</v>
      </c>
      <c r="C7" s="169">
        <v>13029</v>
      </c>
      <c r="D7" s="170">
        <v>14774</v>
      </c>
      <c r="E7" s="170">
        <v>8080.31</v>
      </c>
      <c r="F7" s="170">
        <v>14045</v>
      </c>
      <c r="G7" s="170">
        <v>14819</v>
      </c>
      <c r="H7" s="170">
        <v>18146</v>
      </c>
      <c r="I7" s="170">
        <v>17075</v>
      </c>
      <c r="J7" s="170">
        <v>20465</v>
      </c>
      <c r="K7" s="170">
        <v>16826</v>
      </c>
      <c r="L7" s="170">
        <v>15272</v>
      </c>
      <c r="M7" s="170">
        <v>11668</v>
      </c>
      <c r="N7" s="171">
        <v>13282.93</v>
      </c>
      <c r="O7" s="172">
        <f>SUM(Tabla12[[#This Row],[Gener]:[Desembre]])</f>
        <v>177482.23999999999</v>
      </c>
    </row>
    <row r="8" spans="1:15" x14ac:dyDescent="0.25">
      <c r="A8" s="168">
        <v>5</v>
      </c>
      <c r="B8" s="163" t="s">
        <v>21</v>
      </c>
      <c r="C8" s="169"/>
      <c r="D8" s="170">
        <v>0</v>
      </c>
      <c r="E8" s="170"/>
      <c r="F8" s="170"/>
      <c r="G8" s="170"/>
      <c r="H8" s="170"/>
      <c r="I8" s="170"/>
      <c r="J8" s="170">
        <v>0</v>
      </c>
      <c r="K8" s="170"/>
      <c r="L8" s="170"/>
      <c r="M8" s="170"/>
      <c r="N8" s="171"/>
      <c r="O8" s="172">
        <v>0</v>
      </c>
    </row>
    <row r="9" spans="1:15" x14ac:dyDescent="0.25">
      <c r="A9" s="168">
        <v>6</v>
      </c>
      <c r="B9" s="163" t="s">
        <v>22</v>
      </c>
      <c r="C9" s="169">
        <v>396740</v>
      </c>
      <c r="D9" s="170">
        <v>335080</v>
      </c>
      <c r="E9" s="170">
        <v>354060</v>
      </c>
      <c r="F9" s="170">
        <v>383640</v>
      </c>
      <c r="G9" s="170">
        <v>427580</v>
      </c>
      <c r="H9" s="170">
        <v>405680</v>
      </c>
      <c r="I9" s="170">
        <v>421240</v>
      </c>
      <c r="J9" s="170">
        <v>384740</v>
      </c>
      <c r="K9" s="170">
        <v>379840</v>
      </c>
      <c r="L9" s="170">
        <v>388200</v>
      </c>
      <c r="M9" s="170">
        <v>376920</v>
      </c>
      <c r="N9" s="171">
        <v>392240</v>
      </c>
      <c r="O9" s="172">
        <f>SUM(Tabla12[[#This Row],[Gener]:[Desembre]])</f>
        <v>4645960</v>
      </c>
    </row>
    <row r="10" spans="1:15" x14ac:dyDescent="0.25">
      <c r="A10" s="168">
        <v>8</v>
      </c>
      <c r="B10" s="163" t="s">
        <v>23</v>
      </c>
      <c r="C10" s="169">
        <v>11633</v>
      </c>
      <c r="D10" s="170">
        <v>13193</v>
      </c>
      <c r="E10" s="170">
        <v>15942.29</v>
      </c>
      <c r="F10" s="170">
        <v>12541</v>
      </c>
      <c r="G10" s="170">
        <v>13229</v>
      </c>
      <c r="H10" s="170">
        <v>17363</v>
      </c>
      <c r="I10" s="170">
        <v>13366</v>
      </c>
      <c r="J10" s="170">
        <v>18783</v>
      </c>
      <c r="K10" s="170">
        <v>15024</v>
      </c>
      <c r="L10" s="170">
        <v>13637</v>
      </c>
      <c r="M10" s="170">
        <v>10417</v>
      </c>
      <c r="N10" s="171">
        <v>12206.48</v>
      </c>
      <c r="O10" s="172">
        <f>SUM(Tabla12[[#This Row],[Gener]:[Desembre]])</f>
        <v>167334.77000000002</v>
      </c>
    </row>
    <row r="11" spans="1:15" x14ac:dyDescent="0.25">
      <c r="A11" s="168">
        <v>9</v>
      </c>
      <c r="B11" s="163" t="s">
        <v>24</v>
      </c>
      <c r="C11" s="169"/>
      <c r="D11" s="170">
        <v>0</v>
      </c>
      <c r="E11" s="170"/>
      <c r="F11" s="170"/>
      <c r="G11" s="170"/>
      <c r="H11" s="170"/>
      <c r="I11" s="170"/>
      <c r="J11" s="170">
        <v>0</v>
      </c>
      <c r="K11" s="170"/>
      <c r="L11" s="170"/>
      <c r="M11" s="170"/>
      <c r="N11" s="171"/>
      <c r="O11" s="172">
        <v>0</v>
      </c>
    </row>
    <row r="12" spans="1:15" x14ac:dyDescent="0.25">
      <c r="A12" s="168">
        <v>10</v>
      </c>
      <c r="B12" s="163" t="s">
        <v>25</v>
      </c>
      <c r="C12" s="169"/>
      <c r="D12" s="170">
        <v>0</v>
      </c>
      <c r="E12" s="170"/>
      <c r="F12" s="170"/>
      <c r="G12" s="170"/>
      <c r="H12" s="170"/>
      <c r="I12" s="170"/>
      <c r="J12" s="170">
        <v>0</v>
      </c>
      <c r="K12" s="170"/>
      <c r="L12" s="170"/>
      <c r="M12" s="170"/>
      <c r="N12" s="171"/>
      <c r="O12" s="172">
        <v>0</v>
      </c>
    </row>
    <row r="13" spans="1:15" x14ac:dyDescent="0.25">
      <c r="A13" s="168">
        <v>11</v>
      </c>
      <c r="B13" s="163" t="s">
        <v>26</v>
      </c>
      <c r="C13" s="169"/>
      <c r="D13" s="170">
        <v>0</v>
      </c>
      <c r="E13" s="170"/>
      <c r="F13" s="170"/>
      <c r="G13" s="170"/>
      <c r="H13" s="170"/>
      <c r="I13" s="170"/>
      <c r="J13" s="170">
        <v>0</v>
      </c>
      <c r="K13" s="170"/>
      <c r="L13" s="170"/>
      <c r="M13" s="170"/>
      <c r="N13" s="171"/>
      <c r="O13" s="172">
        <v>0</v>
      </c>
    </row>
    <row r="14" spans="1:15" x14ac:dyDescent="0.25">
      <c r="A14" s="168">
        <v>12</v>
      </c>
      <c r="B14" s="163" t="s">
        <v>27</v>
      </c>
      <c r="C14" s="169"/>
      <c r="D14" s="170">
        <v>0</v>
      </c>
      <c r="E14" s="170"/>
      <c r="F14" s="170"/>
      <c r="G14" s="170"/>
      <c r="H14" s="170"/>
      <c r="I14" s="170"/>
      <c r="J14" s="170">
        <v>0</v>
      </c>
      <c r="K14" s="170"/>
      <c r="L14" s="170"/>
      <c r="M14" s="170"/>
      <c r="N14" s="171"/>
      <c r="O14" s="172">
        <v>0</v>
      </c>
    </row>
    <row r="15" spans="1:15" x14ac:dyDescent="0.25">
      <c r="A15" s="168">
        <v>13</v>
      </c>
      <c r="B15" s="163" t="s">
        <v>28</v>
      </c>
      <c r="C15" s="169"/>
      <c r="D15" s="170">
        <v>0</v>
      </c>
      <c r="E15" s="170"/>
      <c r="F15" s="170"/>
      <c r="G15" s="170"/>
      <c r="H15" s="170"/>
      <c r="I15" s="170"/>
      <c r="J15" s="170">
        <v>0</v>
      </c>
      <c r="K15" s="170"/>
      <c r="L15" s="170"/>
      <c r="M15" s="170"/>
      <c r="N15" s="171"/>
      <c r="O15" s="172">
        <v>0</v>
      </c>
    </row>
    <row r="16" spans="1:15" x14ac:dyDescent="0.25">
      <c r="A16" s="168">
        <v>14</v>
      </c>
      <c r="B16" s="163" t="s">
        <v>29</v>
      </c>
      <c r="C16" s="169"/>
      <c r="D16" s="170">
        <v>0</v>
      </c>
      <c r="E16" s="170"/>
      <c r="F16" s="170"/>
      <c r="G16" s="170"/>
      <c r="H16" s="170"/>
      <c r="I16" s="170"/>
      <c r="J16" s="170">
        <v>0</v>
      </c>
      <c r="K16" s="170"/>
      <c r="L16" s="170"/>
      <c r="M16" s="170"/>
      <c r="N16" s="171"/>
      <c r="O16" s="172">
        <v>0</v>
      </c>
    </row>
    <row r="17" spans="1:15" x14ac:dyDescent="0.25">
      <c r="A17" s="168">
        <v>15</v>
      </c>
      <c r="B17" s="163" t="s">
        <v>30</v>
      </c>
      <c r="C17" s="169"/>
      <c r="D17" s="170">
        <v>0</v>
      </c>
      <c r="E17" s="170"/>
      <c r="F17" s="170"/>
      <c r="G17" s="170"/>
      <c r="H17" s="170"/>
      <c r="I17" s="170"/>
      <c r="J17" s="170">
        <v>0</v>
      </c>
      <c r="K17" s="170"/>
      <c r="L17" s="170"/>
      <c r="M17" s="170"/>
      <c r="N17" s="171"/>
      <c r="O17" s="172">
        <v>0</v>
      </c>
    </row>
    <row r="18" spans="1:15" x14ac:dyDescent="0.25">
      <c r="A18" s="168">
        <v>16</v>
      </c>
      <c r="B18" s="163" t="s">
        <v>31</v>
      </c>
      <c r="C18" s="169"/>
      <c r="D18" s="170">
        <v>0</v>
      </c>
      <c r="E18" s="170"/>
      <c r="F18" s="170"/>
      <c r="G18" s="170"/>
      <c r="H18" s="170"/>
      <c r="I18" s="170"/>
      <c r="J18" s="170">
        <v>0</v>
      </c>
      <c r="K18" s="170"/>
      <c r="L18" s="170"/>
      <c r="M18" s="170"/>
      <c r="N18" s="171"/>
      <c r="O18" s="172">
        <v>0</v>
      </c>
    </row>
    <row r="19" spans="1:15" x14ac:dyDescent="0.25">
      <c r="A19" s="168">
        <v>17</v>
      </c>
      <c r="B19" s="163" t="s">
        <v>32</v>
      </c>
      <c r="C19" s="169">
        <v>37660</v>
      </c>
      <c r="D19" s="170">
        <v>32880</v>
      </c>
      <c r="E19" s="170">
        <v>41680</v>
      </c>
      <c r="F19" s="170">
        <v>42500</v>
      </c>
      <c r="G19" s="170">
        <v>38360</v>
      </c>
      <c r="H19" s="170">
        <v>43780</v>
      </c>
      <c r="I19" s="170">
        <v>37840</v>
      </c>
      <c r="J19" s="170">
        <v>36560</v>
      </c>
      <c r="K19" s="170">
        <v>34880</v>
      </c>
      <c r="L19" s="170">
        <v>36080</v>
      </c>
      <c r="M19" s="170">
        <v>39640</v>
      </c>
      <c r="N19" s="171">
        <v>37280</v>
      </c>
      <c r="O19" s="172">
        <f>SUM(Tabla12[[#This Row],[Gener]:[Desembre]])</f>
        <v>459140</v>
      </c>
    </row>
    <row r="20" spans="1:15" x14ac:dyDescent="0.25">
      <c r="A20" s="168">
        <v>18</v>
      </c>
      <c r="B20" s="163" t="s">
        <v>33</v>
      </c>
      <c r="C20" s="169"/>
      <c r="D20" s="170">
        <v>0</v>
      </c>
      <c r="E20" s="170"/>
      <c r="F20" s="170"/>
      <c r="G20" s="170"/>
      <c r="H20" s="170"/>
      <c r="I20" s="170"/>
      <c r="J20" s="170">
        <v>0</v>
      </c>
      <c r="K20" s="170"/>
      <c r="L20" s="170"/>
      <c r="M20" s="170"/>
      <c r="N20" s="171"/>
      <c r="O20" s="172">
        <v>0</v>
      </c>
    </row>
    <row r="21" spans="1:15" x14ac:dyDescent="0.25">
      <c r="A21" s="168">
        <v>19</v>
      </c>
      <c r="B21" s="163" t="s">
        <v>34</v>
      </c>
      <c r="C21" s="169">
        <f>177880+1140</f>
        <v>179020</v>
      </c>
      <c r="D21" s="170">
        <v>166460</v>
      </c>
      <c r="E21" s="170">
        <v>176320</v>
      </c>
      <c r="F21" s="170">
        <f>177880+740</f>
        <v>178620</v>
      </c>
      <c r="G21" s="170">
        <f>196340+1140</f>
        <v>197480</v>
      </c>
      <c r="H21" s="170">
        <f>188560+1060</f>
        <v>189620</v>
      </c>
      <c r="I21" s="170">
        <v>186740</v>
      </c>
      <c r="J21" s="170">
        <v>168800</v>
      </c>
      <c r="K21" s="170">
        <v>172260</v>
      </c>
      <c r="L21" s="170">
        <f>179560+1440</f>
        <v>181000</v>
      </c>
      <c r="M21" s="170">
        <f>177000+320</f>
        <v>177320</v>
      </c>
      <c r="N21" s="171">
        <v>176740</v>
      </c>
      <c r="O21" s="172">
        <f>SUM(Tabla12[[#This Row],[Gener]:[Desembre]])</f>
        <v>2150380</v>
      </c>
    </row>
    <row r="22" spans="1:15" x14ac:dyDescent="0.25">
      <c r="A22" s="168">
        <v>20</v>
      </c>
      <c r="B22" s="163" t="s">
        <v>35</v>
      </c>
      <c r="C22" s="169"/>
      <c r="D22" s="170">
        <v>0</v>
      </c>
      <c r="E22" s="170"/>
      <c r="F22" s="170"/>
      <c r="G22" s="170"/>
      <c r="H22" s="170"/>
      <c r="I22" s="170"/>
      <c r="J22" s="170">
        <v>0</v>
      </c>
      <c r="K22" s="170"/>
      <c r="L22" s="170"/>
      <c r="M22" s="170"/>
      <c r="N22" s="171"/>
      <c r="O22" s="172">
        <v>0</v>
      </c>
    </row>
    <row r="23" spans="1:15" x14ac:dyDescent="0.25">
      <c r="A23" s="168">
        <v>21</v>
      </c>
      <c r="B23" s="163" t="s">
        <v>36</v>
      </c>
      <c r="C23" s="169">
        <v>5390.75</v>
      </c>
      <c r="D23" s="170">
        <v>6280.64</v>
      </c>
      <c r="E23" s="170">
        <v>7990.64</v>
      </c>
      <c r="F23" s="170">
        <v>5797.41</v>
      </c>
      <c r="G23" s="170">
        <v>6487.35</v>
      </c>
      <c r="H23" s="170">
        <v>8184.5</v>
      </c>
      <c r="I23" s="170">
        <v>6967</v>
      </c>
      <c r="J23" s="170">
        <v>7923.78</v>
      </c>
      <c r="K23" s="170">
        <v>5009</v>
      </c>
      <c r="L23" s="170">
        <v>4548</v>
      </c>
      <c r="M23" s="170">
        <v>4543.6400000000003</v>
      </c>
      <c r="N23" s="171">
        <v>6409.46</v>
      </c>
      <c r="O23" s="172">
        <f>SUM(Tabla12[[#This Row],[Gener]:[Desembre]])</f>
        <v>75532.170000000013</v>
      </c>
    </row>
    <row r="24" spans="1:15" x14ac:dyDescent="0.25">
      <c r="A24" s="168">
        <v>22</v>
      </c>
      <c r="B24" s="163" t="s">
        <v>37</v>
      </c>
      <c r="C24" s="169"/>
      <c r="D24" s="170">
        <v>0</v>
      </c>
      <c r="E24" s="170"/>
      <c r="F24" s="170"/>
      <c r="G24" s="170"/>
      <c r="H24" s="170"/>
      <c r="I24" s="170"/>
      <c r="J24" s="170">
        <v>0</v>
      </c>
      <c r="K24" s="170"/>
      <c r="L24" s="170"/>
      <c r="M24" s="170"/>
      <c r="N24" s="171"/>
      <c r="O24" s="172">
        <f>SUM(Tabla12[[#This Row],[Gener]:[Desembre]])</f>
        <v>0</v>
      </c>
    </row>
    <row r="25" spans="1:15" x14ac:dyDescent="0.25">
      <c r="A25" s="168">
        <v>23</v>
      </c>
      <c r="B25" s="163" t="s">
        <v>38</v>
      </c>
      <c r="C25" s="169"/>
      <c r="D25" s="170">
        <v>0</v>
      </c>
      <c r="E25" s="170"/>
      <c r="F25" s="170"/>
      <c r="G25" s="170"/>
      <c r="H25" s="170"/>
      <c r="I25" s="170"/>
      <c r="J25" s="170">
        <v>0</v>
      </c>
      <c r="K25" s="170"/>
      <c r="L25" s="170"/>
      <c r="M25" s="170"/>
      <c r="N25" s="171"/>
      <c r="O25" s="172">
        <v>0</v>
      </c>
    </row>
    <row r="26" spans="1:15" x14ac:dyDescent="0.25">
      <c r="A26" s="168">
        <v>24</v>
      </c>
      <c r="B26" s="163" t="s">
        <v>39</v>
      </c>
      <c r="C26" s="169">
        <v>49660</v>
      </c>
      <c r="D26" s="170">
        <v>44900</v>
      </c>
      <c r="E26" s="170">
        <v>53340</v>
      </c>
      <c r="F26" s="170">
        <v>55080</v>
      </c>
      <c r="G26" s="170">
        <f>53640</f>
        <v>53640</v>
      </c>
      <c r="H26" s="170">
        <v>60660</v>
      </c>
      <c r="I26" s="170">
        <v>53540</v>
      </c>
      <c r="J26" s="170">
        <v>54320</v>
      </c>
      <c r="K26" s="170">
        <v>49660</v>
      </c>
      <c r="L26" s="170">
        <f>21560+27580</f>
        <v>49140</v>
      </c>
      <c r="M26" s="170">
        <v>55500</v>
      </c>
      <c r="N26" s="171">
        <v>50360</v>
      </c>
      <c r="O26" s="172">
        <f>SUM(Tabla12[[#This Row],[Gener]:[Desembre]])</f>
        <v>629800</v>
      </c>
    </row>
    <row r="27" spans="1:15" x14ac:dyDescent="0.25">
      <c r="A27" s="168">
        <v>25</v>
      </c>
      <c r="B27" s="163" t="s">
        <v>40</v>
      </c>
      <c r="C27" s="169"/>
      <c r="D27" s="170">
        <v>0</v>
      </c>
      <c r="E27" s="170"/>
      <c r="F27" s="170"/>
      <c r="G27" s="170"/>
      <c r="H27" s="170"/>
      <c r="I27" s="170"/>
      <c r="J27" s="170">
        <v>0</v>
      </c>
      <c r="K27" s="170"/>
      <c r="L27" s="170"/>
      <c r="M27" s="170"/>
      <c r="N27" s="171"/>
      <c r="O27" s="172">
        <v>0</v>
      </c>
    </row>
    <row r="28" spans="1:15" x14ac:dyDescent="0.25">
      <c r="A28" s="168">
        <v>26</v>
      </c>
      <c r="B28" s="163" t="s">
        <v>41</v>
      </c>
      <c r="C28" s="169">
        <v>9160</v>
      </c>
      <c r="D28" s="170">
        <v>8240</v>
      </c>
      <c r="E28" s="170">
        <v>8180</v>
      </c>
      <c r="F28" s="170">
        <v>8940</v>
      </c>
      <c r="G28" s="170">
        <v>10200</v>
      </c>
      <c r="H28" s="170">
        <v>7900</v>
      </c>
      <c r="I28" s="170">
        <v>8900</v>
      </c>
      <c r="J28" s="170">
        <v>8360</v>
      </c>
      <c r="K28" s="170">
        <v>7580</v>
      </c>
      <c r="L28" s="170">
        <v>10900</v>
      </c>
      <c r="M28" s="170">
        <v>5520</v>
      </c>
      <c r="N28" s="171">
        <v>9860</v>
      </c>
      <c r="O28" s="172">
        <f>SUM(Tabla12[[#This Row],[Gener]:[Desembre]])</f>
        <v>103740</v>
      </c>
    </row>
    <row r="29" spans="1:15" x14ac:dyDescent="0.25">
      <c r="A29" s="168">
        <v>27</v>
      </c>
      <c r="B29" s="163" t="s">
        <v>42</v>
      </c>
      <c r="C29" s="169"/>
      <c r="D29" s="170">
        <v>0</v>
      </c>
      <c r="E29" s="170"/>
      <c r="F29" s="170"/>
      <c r="G29" s="170"/>
      <c r="H29" s="170"/>
      <c r="I29" s="170"/>
      <c r="J29" s="170">
        <v>0</v>
      </c>
      <c r="K29" s="170"/>
      <c r="L29" s="170"/>
      <c r="M29" s="170"/>
      <c r="N29" s="171"/>
      <c r="O29" s="172">
        <f>SUM(Tabla12[[#This Row],[Gener]:[Desembre]])</f>
        <v>0</v>
      </c>
    </row>
    <row r="30" spans="1:15" x14ac:dyDescent="0.25">
      <c r="A30" s="168">
        <v>28</v>
      </c>
      <c r="B30" s="163" t="s">
        <v>43</v>
      </c>
      <c r="C30" s="169"/>
      <c r="D30" s="170">
        <v>0</v>
      </c>
      <c r="E30" s="170"/>
      <c r="F30" s="170"/>
      <c r="G30" s="170"/>
      <c r="H30" s="170"/>
      <c r="I30" s="170"/>
      <c r="J30" s="170">
        <v>0</v>
      </c>
      <c r="K30" s="170"/>
      <c r="L30" s="170"/>
      <c r="M30" s="170"/>
      <c r="N30" s="171"/>
      <c r="O30" s="172">
        <v>0</v>
      </c>
    </row>
    <row r="31" spans="1:15" x14ac:dyDescent="0.25">
      <c r="A31" s="168">
        <v>29</v>
      </c>
      <c r="B31" s="163" t="s">
        <v>44</v>
      </c>
      <c r="C31" s="169">
        <v>967.25</v>
      </c>
      <c r="D31" s="170">
        <v>932.36</v>
      </c>
      <c r="E31" s="170">
        <v>1706.76</v>
      </c>
      <c r="F31" s="170">
        <v>1056.5899999999999</v>
      </c>
      <c r="G31" s="170">
        <v>744.65</v>
      </c>
      <c r="H31" s="170">
        <v>3026.6</v>
      </c>
      <c r="I31" s="170">
        <v>3252</v>
      </c>
      <c r="J31" s="170">
        <v>3648.22</v>
      </c>
      <c r="K31" s="170">
        <v>3201</v>
      </c>
      <c r="L31" s="170">
        <v>2903</v>
      </c>
      <c r="M31" s="170">
        <v>1151.3599999999999</v>
      </c>
      <c r="N31" s="171">
        <v>701.13</v>
      </c>
      <c r="O31" s="172">
        <f>SUM(Tabla12[[#This Row],[Gener]:[Desembre]])</f>
        <v>23290.920000000002</v>
      </c>
    </row>
    <row r="32" spans="1:15" x14ac:dyDescent="0.25">
      <c r="A32" s="168">
        <v>30</v>
      </c>
      <c r="B32" s="163" t="s">
        <v>45</v>
      </c>
      <c r="C32" s="169">
        <v>32940</v>
      </c>
      <c r="D32" s="170">
        <v>24520</v>
      </c>
      <c r="E32" s="170">
        <v>26500</v>
      </c>
      <c r="F32" s="170">
        <v>40060</v>
      </c>
      <c r="G32" s="170">
        <v>29780</v>
      </c>
      <c r="H32" s="170">
        <v>29540</v>
      </c>
      <c r="I32" s="170">
        <v>34000</v>
      </c>
      <c r="J32" s="170">
        <v>26380</v>
      </c>
      <c r="K32" s="170">
        <v>23880</v>
      </c>
      <c r="L32" s="170">
        <v>32200</v>
      </c>
      <c r="M32" s="170">
        <v>27320</v>
      </c>
      <c r="N32" s="171">
        <v>34120</v>
      </c>
      <c r="O32" s="172">
        <f>SUM(Tabla12[[#This Row],[Gener]:[Desembre]])</f>
        <v>361240</v>
      </c>
    </row>
    <row r="33" spans="1:17" x14ac:dyDescent="0.25">
      <c r="A33" s="168">
        <v>31</v>
      </c>
      <c r="B33" s="163" t="s">
        <v>46</v>
      </c>
      <c r="C33" s="169">
        <v>4660</v>
      </c>
      <c r="D33" s="170">
        <v>4160</v>
      </c>
      <c r="E33" s="170">
        <v>3980</v>
      </c>
      <c r="F33" s="170">
        <v>4200</v>
      </c>
      <c r="G33" s="170">
        <v>4580</v>
      </c>
      <c r="H33" s="170">
        <v>4540</v>
      </c>
      <c r="I33" s="170">
        <v>3760</v>
      </c>
      <c r="J33" s="170">
        <v>3760</v>
      </c>
      <c r="K33" s="170">
        <v>4980</v>
      </c>
      <c r="L33" s="170">
        <v>4820</v>
      </c>
      <c r="M33" s="170">
        <v>5220</v>
      </c>
      <c r="N33" s="171">
        <v>4700</v>
      </c>
      <c r="O33" s="172">
        <f>SUM(Tabla12[[#This Row],[Gener]:[Desembre]])</f>
        <v>53360</v>
      </c>
    </row>
    <row r="34" spans="1:17" x14ac:dyDescent="0.25">
      <c r="A34" s="168">
        <v>32</v>
      </c>
      <c r="B34" s="163" t="s">
        <v>47</v>
      </c>
      <c r="C34" s="169"/>
      <c r="D34" s="170">
        <v>0</v>
      </c>
      <c r="E34" s="170"/>
      <c r="F34" s="170"/>
      <c r="G34" s="170"/>
      <c r="H34" s="170"/>
      <c r="I34" s="170"/>
      <c r="J34" s="170">
        <v>0</v>
      </c>
      <c r="K34" s="170"/>
      <c r="L34" s="170"/>
      <c r="M34" s="170"/>
      <c r="N34" s="171"/>
      <c r="O34" s="172">
        <v>0</v>
      </c>
    </row>
    <row r="35" spans="1:17" x14ac:dyDescent="0.25">
      <c r="A35" s="168">
        <v>33</v>
      </c>
      <c r="B35" s="163" t="s">
        <v>48</v>
      </c>
      <c r="C35" s="169"/>
      <c r="D35" s="170">
        <v>0</v>
      </c>
      <c r="E35" s="170"/>
      <c r="F35" s="170"/>
      <c r="G35" s="170"/>
      <c r="H35" s="170"/>
      <c r="I35" s="170">
        <v>5200</v>
      </c>
      <c r="J35" s="170">
        <v>0</v>
      </c>
      <c r="K35" s="170"/>
      <c r="L35" s="170"/>
      <c r="M35" s="170"/>
      <c r="N35" s="171"/>
      <c r="O35" s="172">
        <f>SUM(Tabla12[[#This Row],[Gener]:[Desembre]])</f>
        <v>5200</v>
      </c>
    </row>
    <row r="36" spans="1:17" x14ac:dyDescent="0.25">
      <c r="A36" s="168">
        <v>34</v>
      </c>
      <c r="B36" s="163" t="s">
        <v>49</v>
      </c>
      <c r="C36" s="169">
        <v>80880</v>
      </c>
      <c r="D36" s="170">
        <v>72800</v>
      </c>
      <c r="E36" s="170">
        <v>90220</v>
      </c>
      <c r="F36" s="170">
        <v>93700</v>
      </c>
      <c r="G36" s="170">
        <v>94500</v>
      </c>
      <c r="H36" s="170">
        <v>111440</v>
      </c>
      <c r="I36" s="170">
        <v>107700</v>
      </c>
      <c r="J36" s="170">
        <v>107060</v>
      </c>
      <c r="K36" s="170">
        <v>89320</v>
      </c>
      <c r="L36" s="170">
        <v>84800</v>
      </c>
      <c r="M36" s="170">
        <v>86240</v>
      </c>
      <c r="N36" s="171">
        <v>77160</v>
      </c>
      <c r="O36" s="172">
        <f>SUM(Tabla12[[#This Row],[Gener]:[Desembre]])</f>
        <v>1095820</v>
      </c>
    </row>
    <row r="37" spans="1:17" x14ac:dyDescent="0.25">
      <c r="A37" s="168">
        <v>35</v>
      </c>
      <c r="B37" s="163" t="s">
        <v>50</v>
      </c>
      <c r="C37" s="169"/>
      <c r="D37" s="170">
        <v>0</v>
      </c>
      <c r="E37" s="170"/>
      <c r="F37" s="170"/>
      <c r="G37" s="170"/>
      <c r="H37" s="170"/>
      <c r="I37" s="170"/>
      <c r="J37" s="170">
        <v>0</v>
      </c>
      <c r="K37" s="170"/>
      <c r="L37" s="170"/>
      <c r="M37" s="170"/>
      <c r="N37" s="171"/>
      <c r="O37" s="172">
        <v>0</v>
      </c>
    </row>
    <row r="38" spans="1:17" x14ac:dyDescent="0.25">
      <c r="A38" s="168">
        <v>36</v>
      </c>
      <c r="B38" s="163" t="s">
        <v>51</v>
      </c>
      <c r="C38" s="169">
        <v>26380</v>
      </c>
      <c r="D38" s="170">
        <v>21920</v>
      </c>
      <c r="E38" s="170">
        <v>23120</v>
      </c>
      <c r="F38" s="170">
        <v>28500</v>
      </c>
      <c r="G38" s="170">
        <v>22580</v>
      </c>
      <c r="H38" s="170">
        <v>24900</v>
      </c>
      <c r="I38" s="170">
        <v>22940</v>
      </c>
      <c r="J38" s="170">
        <v>24200</v>
      </c>
      <c r="K38" s="170">
        <v>22740</v>
      </c>
      <c r="L38" s="170">
        <v>22460</v>
      </c>
      <c r="M38" s="170">
        <v>22160</v>
      </c>
      <c r="N38" s="171">
        <v>22540</v>
      </c>
      <c r="O38" s="172">
        <f>SUM(Tabla12[[#This Row],[Gener]:[Desembre]])</f>
        <v>284440</v>
      </c>
    </row>
    <row r="39" spans="1:17" x14ac:dyDescent="0.25">
      <c r="A39" s="168">
        <v>37</v>
      </c>
      <c r="B39" s="163" t="s">
        <v>52</v>
      </c>
      <c r="C39" s="169"/>
      <c r="D39" s="170">
        <v>0</v>
      </c>
      <c r="E39" s="170"/>
      <c r="F39" s="170"/>
      <c r="G39" s="170"/>
      <c r="H39" s="170"/>
      <c r="I39" s="170"/>
      <c r="J39" s="170">
        <v>0</v>
      </c>
      <c r="K39" s="170"/>
      <c r="L39" s="170"/>
      <c r="M39" s="170"/>
      <c r="N39" s="171"/>
      <c r="O39" s="172">
        <v>0</v>
      </c>
    </row>
    <row r="40" spans="1:17" x14ac:dyDescent="0.25">
      <c r="A40" s="168">
        <v>38</v>
      </c>
      <c r="B40" s="163" t="s">
        <v>53</v>
      </c>
      <c r="C40" s="169"/>
      <c r="D40" s="170">
        <v>0</v>
      </c>
      <c r="E40" s="170"/>
      <c r="F40" s="170"/>
      <c r="G40" s="170"/>
      <c r="H40" s="170"/>
      <c r="I40" s="170"/>
      <c r="J40" s="170">
        <v>0</v>
      </c>
      <c r="K40" s="170"/>
      <c r="L40" s="170"/>
      <c r="M40" s="170"/>
      <c r="N40" s="171"/>
      <c r="O40" s="172">
        <v>0</v>
      </c>
    </row>
    <row r="41" spans="1:17" x14ac:dyDescent="0.25">
      <c r="A41" s="168">
        <v>39</v>
      </c>
      <c r="B41" s="163" t="s">
        <v>54</v>
      </c>
      <c r="C41" s="169">
        <v>35020</v>
      </c>
      <c r="D41" s="170">
        <v>35020</v>
      </c>
      <c r="E41" s="170">
        <v>39640</v>
      </c>
      <c r="F41" s="170">
        <v>40800</v>
      </c>
      <c r="G41" s="170">
        <v>39720</v>
      </c>
      <c r="H41" s="170">
        <v>47440</v>
      </c>
      <c r="I41" s="170">
        <v>43920</v>
      </c>
      <c r="J41" s="170">
        <v>50020</v>
      </c>
      <c r="K41" s="170">
        <v>39420</v>
      </c>
      <c r="L41" s="170">
        <v>38500</v>
      </c>
      <c r="M41" s="170">
        <v>36980</v>
      </c>
      <c r="N41" s="171">
        <v>39400</v>
      </c>
      <c r="O41" s="172">
        <f>SUM(Tabla12[[#This Row],[Gener]:[Desembre]])</f>
        <v>485880</v>
      </c>
    </row>
    <row r="42" spans="1:17" x14ac:dyDescent="0.25">
      <c r="A42" s="168">
        <v>40</v>
      </c>
      <c r="B42" s="163" t="s">
        <v>55</v>
      </c>
      <c r="C42" s="169"/>
      <c r="D42" s="170">
        <v>0</v>
      </c>
      <c r="E42" s="170"/>
      <c r="F42" s="170"/>
      <c r="G42" s="170"/>
      <c r="H42" s="170"/>
      <c r="I42" s="170"/>
      <c r="J42" s="170">
        <v>0</v>
      </c>
      <c r="K42" s="170"/>
      <c r="L42" s="170"/>
      <c r="M42" s="170"/>
      <c r="N42" s="171"/>
      <c r="O42" s="172">
        <v>0</v>
      </c>
    </row>
    <row r="43" spans="1:17" ht="15.75" thickBot="1" x14ac:dyDescent="0.3">
      <c r="A43" s="173">
        <v>41</v>
      </c>
      <c r="B43" s="174" t="s">
        <v>56</v>
      </c>
      <c r="C43" s="175"/>
      <c r="D43" s="176">
        <v>0</v>
      </c>
      <c r="E43" s="176"/>
      <c r="F43" s="176"/>
      <c r="G43" s="176"/>
      <c r="H43" s="176"/>
      <c r="I43" s="176"/>
      <c r="J43" s="176">
        <v>0</v>
      </c>
      <c r="K43" s="176"/>
      <c r="L43" s="176"/>
      <c r="M43" s="176"/>
      <c r="N43" s="177"/>
      <c r="O43" s="178">
        <f>SUM(Tabla12[[#This Row],[Gener]:[Desembre]])</f>
        <v>0</v>
      </c>
    </row>
    <row r="44" spans="1:17" s="4" customFormat="1" ht="15.75" thickBot="1" x14ac:dyDescent="0.3">
      <c r="B44" s="179" t="s">
        <v>57</v>
      </c>
      <c r="C44" s="180">
        <f>SUBTOTAL(109,Tabla12[Gener])</f>
        <v>1107820</v>
      </c>
      <c r="D44" s="181">
        <f>SUBTOTAL(109,Tabla12[Febrer])</f>
        <v>987120</v>
      </c>
      <c r="E44" s="181">
        <f>SUBTOTAL(109,Tabla12[Març])</f>
        <v>1097660</v>
      </c>
      <c r="F44" s="181">
        <f>SUBTOTAL(109,Tabla12[Abril])</f>
        <v>1195580</v>
      </c>
      <c r="G44" s="181">
        <f>SUBTOTAL(109,Tabla12[Maig])</f>
        <v>1236660</v>
      </c>
      <c r="H44" s="181">
        <f>SUBTOTAL(109,Tabla12[Juny])</f>
        <v>1260060.1000000001</v>
      </c>
      <c r="I44" s="181">
        <f>SUBTOTAL(109,Tabla12[Juliol])</f>
        <v>1224420</v>
      </c>
      <c r="J44" s="181">
        <f>SUBTOTAL(109,Tabla12[Agost])</f>
        <v>1162340</v>
      </c>
      <c r="K44" s="181">
        <f>SUBTOTAL(109,Tabla12[Setembre])</f>
        <v>1103480</v>
      </c>
      <c r="L44" s="181">
        <f>SUBTOTAL(109,Tabla12[Octubre])</f>
        <v>1114620</v>
      </c>
      <c r="M44" s="181">
        <f>SUBTOTAL(109,Tabla12[Novembre])</f>
        <v>1091280</v>
      </c>
      <c r="N44" s="182">
        <f>SUBTOTAL(109,Tabla12[Desembre])</f>
        <v>1113780</v>
      </c>
      <c r="O44" s="183">
        <f>SUM(C44:N44)</f>
        <v>13694820.1</v>
      </c>
      <c r="P44" s="1"/>
      <c r="Q44" s="184"/>
    </row>
    <row r="45" spans="1:17" ht="15.75" thickBot="1" x14ac:dyDescent="0.3">
      <c r="B45" s="185" t="s">
        <v>58</v>
      </c>
      <c r="C45" s="186">
        <v>1037280.0100000001</v>
      </c>
      <c r="D45" s="187">
        <v>988299</v>
      </c>
      <c r="E45" s="187">
        <v>1061900</v>
      </c>
      <c r="F45" s="187">
        <v>1040420</v>
      </c>
      <c r="G45" s="187">
        <v>1131120</v>
      </c>
      <c r="H45" s="187">
        <v>1104280</v>
      </c>
      <c r="I45" s="187">
        <v>1196720</v>
      </c>
      <c r="J45" s="187">
        <v>1076958.8199999998</v>
      </c>
      <c r="K45" s="187">
        <v>1075740</v>
      </c>
      <c r="L45" s="187">
        <v>1041840</v>
      </c>
      <c r="M45" s="187">
        <v>1021720</v>
      </c>
      <c r="N45" s="188">
        <v>1090399.99</v>
      </c>
      <c r="O45" s="189">
        <f>SUM(C45:N45)</f>
        <v>12866677.82</v>
      </c>
    </row>
    <row r="46" spans="1:17" ht="15.75" thickBot="1" x14ac:dyDescent="0.3">
      <c r="B46" s="190" t="s">
        <v>59</v>
      </c>
      <c r="C46" s="191">
        <f t="shared" ref="C46:N46" si="0">(C44/C45)-1</f>
        <v>6.8004771440644873E-2</v>
      </c>
      <c r="D46" s="191">
        <f t="shared" si="0"/>
        <v>-1.1929588110480838E-3</v>
      </c>
      <c r="E46" s="191">
        <f t="shared" si="0"/>
        <v>3.3675487334023924E-2</v>
      </c>
      <c r="F46" s="191">
        <f t="shared" si="0"/>
        <v>0.14913208127486977</v>
      </c>
      <c r="G46" s="191">
        <f t="shared" si="0"/>
        <v>9.3305750053044756E-2</v>
      </c>
      <c r="H46" s="191">
        <f t="shared" si="0"/>
        <v>0.14106938457637574</v>
      </c>
      <c r="I46" s="191">
        <f t="shared" si="0"/>
        <v>2.3146600708603415E-2</v>
      </c>
      <c r="J46" s="191">
        <f t="shared" si="0"/>
        <v>7.9279892986066303E-2</v>
      </c>
      <c r="K46" s="191">
        <f t="shared" si="0"/>
        <v>2.5786900180341021E-2</v>
      </c>
      <c r="L46" s="191">
        <f t="shared" si="0"/>
        <v>6.9857175765952517E-2</v>
      </c>
      <c r="M46" s="191">
        <f t="shared" si="0"/>
        <v>6.8081274713228668E-2</v>
      </c>
      <c r="N46" s="192">
        <f t="shared" si="0"/>
        <v>2.1441682148217955E-2</v>
      </c>
      <c r="O46" s="193">
        <f>(O44/O45)-1</f>
        <v>6.4363333844633441E-2</v>
      </c>
    </row>
    <row r="47" spans="1:17" x14ac:dyDescent="0.25"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55" spans="16:16" x14ac:dyDescent="0.25">
      <c r="P55" s="194"/>
    </row>
  </sheetData>
  <sheetProtection sheet="1" objects="1" scenarios="1"/>
  <pageMargins left="0.19685039370078741" right="0.23622047244094491" top="0.52" bottom="0.2" header="0.19685039370078741" footer="0.16"/>
  <pageSetup paperSize="9" scale="77" orientation="landscape" copies="5" r:id="rId1"/>
  <headerFooter>
    <oddHeader>&amp;L&amp;"Calibri,Normal"&amp;G&amp;C&amp;F&amp;R&amp;"Calibri,Normal"&amp;G</oddHeader>
    <oddFooter>&amp;L&amp;"Calibri,Normal"&amp;D&amp;C&amp;A&amp;R&amp;"Calibri,Normal"&amp;P de &amp;N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PAPER I CARTRÓ</vt:lpstr>
      <vt:lpstr>PAPER I CARTRÓ PORTA A PORTA</vt:lpstr>
      <vt:lpstr>ENVASOS</vt:lpstr>
      <vt:lpstr>VIDRE</vt:lpstr>
      <vt:lpstr>FORM</vt:lpstr>
      <vt:lpstr>RMO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 Dades</dc:creator>
  <cp:lastModifiedBy>Mònica Llorente Gutierrez</cp:lastModifiedBy>
  <cp:lastPrinted>2022-04-26T12:29:30Z</cp:lastPrinted>
  <dcterms:created xsi:type="dcterms:W3CDTF">2021-04-19T11:47:54Z</dcterms:created>
  <dcterms:modified xsi:type="dcterms:W3CDTF">2024-02-13T12:24:46Z</dcterms:modified>
</cp:coreProperties>
</file>