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tables/table3.xml" ContentType="application/vnd.openxmlformats-officedocument.spreadsheetml.table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5.xml" ContentType="application/vnd.openxmlformats-officedocument.drawing+xml"/>
  <Override PartName="/xl/tables/table4.xml" ContentType="application/vnd.openxmlformats-officedocument.spreadsheetml.table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6.xml" ContentType="application/vnd.openxmlformats-officedocument.drawing+xml"/>
  <Override PartName="/xl/tables/table5.xml" ContentType="application/vnd.openxmlformats-officedocument.spreadsheetml.table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7.xml" ContentType="application/vnd.openxmlformats-officedocument.drawing+xml"/>
  <Override PartName="/xl/tables/table6.xml" ContentType="application/vnd.openxmlformats-officedocument.spreadsheetml.table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U:\Serveicomarcaldedades\WEB SAVO\ARXIUS NOVA WEB SAVO\"/>
    </mc:Choice>
  </mc:AlternateContent>
  <xr:revisionPtr revIDLastSave="0" documentId="13_ncr:1_{857F4079-C592-493F-A5C3-807F1D0464B6}" xr6:coauthVersionLast="47" xr6:coauthVersionMax="47" xr10:uidLastSave="{00000000-0000-0000-0000-000000000000}"/>
  <bookViews>
    <workbookView xWindow="28680" yWindow="-120" windowWidth="29040" windowHeight="15840" tabRatio="713" xr2:uid="{00000000-000D-0000-FFFF-FFFF00000000}"/>
  </bookViews>
  <sheets>
    <sheet name="RESUM 2019" sheetId="19" r:id="rId1"/>
    <sheet name="PAPER I CARTRÓ" sheetId="10" r:id="rId2"/>
    <sheet name="PAPER I CARTRÓ PORTA A PORTA" sheetId="20" r:id="rId3"/>
    <sheet name="ENVASOS" sheetId="12" r:id="rId4"/>
    <sheet name="VIDRE" sheetId="13" r:id="rId5"/>
    <sheet name="RMO" sheetId="6" r:id="rId6"/>
    <sheet name="FORM" sheetId="5" r:id="rId7"/>
    <sheet name="VERD" sheetId="16" r:id="rId8"/>
    <sheet name="Voluminosos" sheetId="18" r:id="rId9"/>
  </sheets>
  <definedNames>
    <definedName name="llInstal" localSheetId="2">#REF!</definedName>
    <definedName name="llInstal">#REF!</definedName>
    <definedName name="llInstalCodi" localSheetId="2">#REF!</definedName>
    <definedName name="llInstalCodi">#REF!</definedName>
    <definedName name="llTitulars" localSheetId="2">#REF!</definedName>
    <definedName name="llTitulars">#REF!</definedName>
    <definedName name="llTitularsCodi" localSheetId="2">#REF!</definedName>
    <definedName name="llTitularsCodi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27" i="5" l="1"/>
  <c r="N22" i="5"/>
  <c r="N23" i="13" l="1"/>
  <c r="N21" i="13"/>
  <c r="N22" i="6"/>
  <c r="N41" i="10" l="1"/>
  <c r="N40" i="10"/>
  <c r="N39" i="10"/>
  <c r="N38" i="10"/>
  <c r="N36" i="10"/>
  <c r="N35" i="10"/>
  <c r="N32" i="10"/>
  <c r="N29" i="10"/>
  <c r="N26" i="10"/>
  <c r="N22" i="10"/>
  <c r="N21" i="10"/>
  <c r="N19" i="10"/>
  <c r="N5" i="10"/>
  <c r="N27" i="10"/>
  <c r="N17" i="10"/>
  <c r="N14" i="10"/>
  <c r="N16" i="10"/>
  <c r="N15" i="10"/>
  <c r="N10" i="10"/>
  <c r="N9" i="10"/>
  <c r="N7" i="10"/>
  <c r="N6" i="10"/>
  <c r="N23" i="10"/>
  <c r="N34" i="20"/>
  <c r="N22" i="20"/>
  <c r="N15" i="20"/>
  <c r="N22" i="12"/>
  <c r="N13" i="12"/>
  <c r="N20" i="12"/>
  <c r="N27" i="12"/>
  <c r="N42" i="12"/>
  <c r="N21" i="12"/>
  <c r="N14" i="12"/>
  <c r="N25" i="12"/>
  <c r="M23" i="13" l="1"/>
  <c r="M21" i="13"/>
  <c r="M22" i="13"/>
  <c r="M22" i="6"/>
  <c r="M23" i="10"/>
  <c r="M14" i="10"/>
  <c r="M21" i="10"/>
  <c r="M34" i="20"/>
  <c r="M22" i="20"/>
  <c r="M15" i="20"/>
  <c r="M22" i="10"/>
  <c r="M15" i="10"/>
  <c r="M41" i="10"/>
  <c r="M40" i="10"/>
  <c r="M39" i="10"/>
  <c r="M38" i="10"/>
  <c r="M36" i="10"/>
  <c r="M35" i="10"/>
  <c r="M32" i="10"/>
  <c r="M29" i="10"/>
  <c r="M26" i="10"/>
  <c r="M19" i="10"/>
  <c r="M5" i="10"/>
  <c r="M27" i="10"/>
  <c r="M17" i="10"/>
  <c r="M16" i="10"/>
  <c r="M10" i="10"/>
  <c r="M9" i="10"/>
  <c r="M7" i="10"/>
  <c r="M6" i="10"/>
  <c r="M27" i="5"/>
  <c r="M22" i="5"/>
  <c r="M22" i="12"/>
  <c r="M13" i="12"/>
  <c r="M20" i="12"/>
  <c r="M27" i="12"/>
  <c r="M42" i="12"/>
  <c r="M21" i="12"/>
  <c r="M14" i="12"/>
  <c r="M28" i="12"/>
  <c r="M25" i="12"/>
  <c r="N4" i="19"/>
  <c r="K23" i="13" l="1"/>
  <c r="K21" i="13"/>
  <c r="K22" i="6" l="1"/>
  <c r="K23" i="10"/>
  <c r="K14" i="10"/>
  <c r="K21" i="10"/>
  <c r="K34" i="20"/>
  <c r="K22" i="20"/>
  <c r="K15" i="20"/>
  <c r="K22" i="10"/>
  <c r="K29" i="10"/>
  <c r="K26" i="10"/>
  <c r="K41" i="10"/>
  <c r="K40" i="10"/>
  <c r="K39" i="10"/>
  <c r="K38" i="10"/>
  <c r="K36" i="10"/>
  <c r="K35" i="10"/>
  <c r="K32" i="10"/>
  <c r="K19" i="10"/>
  <c r="K5" i="10"/>
  <c r="K27" i="10"/>
  <c r="K17" i="10"/>
  <c r="K16" i="10"/>
  <c r="K15" i="10"/>
  <c r="K43" i="10"/>
  <c r="K10" i="10"/>
  <c r="K9" i="10"/>
  <c r="K7" i="10"/>
  <c r="K6" i="10"/>
  <c r="K20" i="5"/>
  <c r="K27" i="5"/>
  <c r="K22" i="5"/>
  <c r="K22" i="12" l="1"/>
  <c r="K13" i="12"/>
  <c r="K20" i="12"/>
  <c r="K27" i="12"/>
  <c r="K42" i="12"/>
  <c r="K21" i="12"/>
  <c r="K28" i="12"/>
  <c r="K25" i="12"/>
  <c r="K14" i="12"/>
  <c r="J47" i="13"/>
  <c r="J21" i="13"/>
  <c r="J29" i="13"/>
  <c r="J22" i="6"/>
  <c r="J34" i="20"/>
  <c r="J22" i="20"/>
  <c r="J15" i="20"/>
  <c r="J41" i="10"/>
  <c r="J40" i="10"/>
  <c r="J39" i="10"/>
  <c r="J38" i="10"/>
  <c r="J36" i="10"/>
  <c r="J35" i="10"/>
  <c r="J32" i="10"/>
  <c r="J29" i="10"/>
  <c r="J26" i="10"/>
  <c r="J22" i="10"/>
  <c r="J21" i="10"/>
  <c r="J19" i="10"/>
  <c r="J5" i="10"/>
  <c r="J27" i="10"/>
  <c r="J17" i="10"/>
  <c r="J14" i="10"/>
  <c r="J16" i="10"/>
  <c r="J15" i="10"/>
  <c r="J10" i="10"/>
  <c r="J9" i="10"/>
  <c r="J7" i="10"/>
  <c r="J6" i="10"/>
  <c r="J23" i="10"/>
  <c r="J27" i="5"/>
  <c r="J22" i="5"/>
  <c r="J45" i="5" s="1"/>
  <c r="N10" i="19"/>
  <c r="J42" i="12"/>
  <c r="J28" i="12"/>
  <c r="J25" i="12"/>
  <c r="J22" i="12"/>
  <c r="J21" i="12"/>
  <c r="J20" i="12"/>
  <c r="J14" i="12"/>
  <c r="J13" i="12"/>
  <c r="J27" i="12"/>
  <c r="I14" i="13"/>
  <c r="I21" i="13"/>
  <c r="I23" i="13"/>
  <c r="I26" i="13"/>
  <c r="I22" i="6"/>
  <c r="I22" i="20"/>
  <c r="I15" i="20"/>
  <c r="I15" i="10"/>
  <c r="I34" i="20"/>
  <c r="I41" i="10"/>
  <c r="I40" i="10"/>
  <c r="I39" i="10"/>
  <c r="I38" i="10"/>
  <c r="I36" i="10"/>
  <c r="I35" i="10"/>
  <c r="I32" i="10"/>
  <c r="I29" i="10"/>
  <c r="I26" i="10"/>
  <c r="I22" i="10"/>
  <c r="I21" i="10"/>
  <c r="I19" i="10"/>
  <c r="I5" i="10"/>
  <c r="I27" i="10"/>
  <c r="I17" i="10"/>
  <c r="I14" i="10"/>
  <c r="I16" i="10"/>
  <c r="I10" i="10"/>
  <c r="I9" i="10"/>
  <c r="I7" i="10"/>
  <c r="I6" i="10"/>
  <c r="I23" i="10"/>
  <c r="I27" i="5"/>
  <c r="I22" i="5"/>
  <c r="I42" i="12"/>
  <c r="I28" i="12"/>
  <c r="I27" i="12"/>
  <c r="I25" i="12"/>
  <c r="I22" i="12"/>
  <c r="I21" i="12"/>
  <c r="I20" i="12"/>
  <c r="I14" i="12"/>
  <c r="I13" i="12"/>
  <c r="H21" i="13"/>
  <c r="H22" i="6"/>
  <c r="H41" i="10"/>
  <c r="H40" i="10"/>
  <c r="H39" i="10"/>
  <c r="H38" i="10"/>
  <c r="H35" i="10"/>
  <c r="H32" i="10"/>
  <c r="H29" i="10"/>
  <c r="H26" i="10"/>
  <c r="H22" i="10"/>
  <c r="H21" i="10"/>
  <c r="H19" i="10"/>
  <c r="H5" i="10"/>
  <c r="H27" i="10"/>
  <c r="H17" i="10"/>
  <c r="H14" i="10"/>
  <c r="H16" i="10"/>
  <c r="H15" i="10"/>
  <c r="H10" i="10"/>
  <c r="H9" i="10"/>
  <c r="H7" i="10"/>
  <c r="H6" i="10"/>
  <c r="H23" i="10"/>
  <c r="H15" i="20"/>
  <c r="H22" i="20"/>
  <c r="H34" i="20"/>
  <c r="H30" i="20"/>
  <c r="H28" i="20"/>
  <c r="H26" i="20"/>
  <c r="H23" i="20"/>
  <c r="H14" i="20"/>
  <c r="H43" i="20"/>
  <c r="H10" i="20"/>
  <c r="H6" i="20"/>
  <c r="H27" i="5"/>
  <c r="H22" i="5"/>
  <c r="H22" i="12"/>
  <c r="H13" i="12"/>
  <c r="H20" i="12"/>
  <c r="H27" i="12"/>
  <c r="H42" i="12"/>
  <c r="H28" i="12"/>
  <c r="H25" i="12"/>
  <c r="H14" i="12"/>
  <c r="G34" i="20"/>
  <c r="G21" i="13"/>
  <c r="G22" i="6"/>
  <c r="G22" i="20"/>
  <c r="G15" i="20"/>
  <c r="G41" i="10"/>
  <c r="G40" i="10"/>
  <c r="G39" i="10"/>
  <c r="G38" i="10"/>
  <c r="G36" i="10"/>
  <c r="G35" i="10"/>
  <c r="G32" i="10"/>
  <c r="G29" i="10"/>
  <c r="G26" i="10"/>
  <c r="G22" i="10"/>
  <c r="G21" i="10"/>
  <c r="G19" i="10"/>
  <c r="G5" i="10"/>
  <c r="G27" i="10"/>
  <c r="G17" i="10"/>
  <c r="G14" i="10"/>
  <c r="G16" i="10"/>
  <c r="G15" i="10"/>
  <c r="G10" i="10"/>
  <c r="G9" i="10"/>
  <c r="G7" i="10"/>
  <c r="G6" i="10"/>
  <c r="G23" i="10"/>
  <c r="G27" i="5"/>
  <c r="G22" i="5"/>
  <c r="G22" i="12"/>
  <c r="G28" i="12"/>
  <c r="G27" i="12"/>
  <c r="G25" i="12"/>
  <c r="G20" i="12"/>
  <c r="G13" i="12"/>
  <c r="G14" i="12"/>
  <c r="G42" i="12"/>
  <c r="G33" i="12"/>
  <c r="G29" i="12"/>
  <c r="F26" i="13" l="1"/>
  <c r="F23" i="13"/>
  <c r="F14" i="13"/>
  <c r="F21" i="13"/>
  <c r="F29" i="13"/>
  <c r="F22" i="6"/>
  <c r="F23" i="10"/>
  <c r="F14" i="10"/>
  <c r="F21" i="10"/>
  <c r="F34" i="20"/>
  <c r="F22" i="20"/>
  <c r="F15" i="20"/>
  <c r="F29" i="10"/>
  <c r="F26" i="10"/>
  <c r="F41" i="10"/>
  <c r="F40" i="10"/>
  <c r="F39" i="10"/>
  <c r="F38" i="10"/>
  <c r="F36" i="10"/>
  <c r="F35" i="10"/>
  <c r="F32" i="10"/>
  <c r="F28" i="10"/>
  <c r="F22" i="10"/>
  <c r="F19" i="10"/>
  <c r="F5" i="10"/>
  <c r="F27" i="10"/>
  <c r="F17" i="10"/>
  <c r="F16" i="10"/>
  <c r="F15" i="10"/>
  <c r="F10" i="10"/>
  <c r="F9" i="10"/>
  <c r="F7" i="10"/>
  <c r="F6" i="10"/>
  <c r="E7" i="19"/>
  <c r="F27" i="5"/>
  <c r="F22" i="5"/>
  <c r="F22" i="12"/>
  <c r="F13" i="12"/>
  <c r="F20" i="12"/>
  <c r="F27" i="12"/>
  <c r="F42" i="12"/>
  <c r="F28" i="12"/>
  <c r="F25" i="12"/>
  <c r="F14" i="12"/>
  <c r="F46" i="12"/>
  <c r="O47" i="13" l="1"/>
  <c r="O46" i="12"/>
  <c r="E27" i="5" l="1"/>
  <c r="E22" i="5"/>
  <c r="E22" i="6"/>
  <c r="E23" i="13" l="1"/>
  <c r="E14" i="13"/>
  <c r="E21" i="13"/>
  <c r="E29" i="13"/>
  <c r="E26" i="13"/>
  <c r="E22" i="13"/>
  <c r="E29" i="10"/>
  <c r="E26" i="10"/>
  <c r="E41" i="10"/>
  <c r="E40" i="10"/>
  <c r="E39" i="10"/>
  <c r="E38" i="10"/>
  <c r="E36" i="10"/>
  <c r="E35" i="10"/>
  <c r="E32" i="10"/>
  <c r="E23" i="10"/>
  <c r="E14" i="10"/>
  <c r="E21" i="10"/>
  <c r="E34" i="20"/>
  <c r="E22" i="20"/>
  <c r="E15" i="20"/>
  <c r="D27" i="19"/>
  <c r="C27" i="19"/>
  <c r="B27" i="19"/>
  <c r="D22" i="19"/>
  <c r="C22" i="19"/>
  <c r="B22" i="19"/>
  <c r="D17" i="19"/>
  <c r="C17" i="19"/>
  <c r="B17" i="19"/>
  <c r="D12" i="19"/>
  <c r="C12" i="19"/>
  <c r="B12" i="19"/>
  <c r="D7" i="19"/>
  <c r="C7" i="19"/>
  <c r="B7" i="19"/>
  <c r="E22" i="10"/>
  <c r="E19" i="10"/>
  <c r="E5" i="10"/>
  <c r="E27" i="10"/>
  <c r="E17" i="10"/>
  <c r="E16" i="10"/>
  <c r="E15" i="10"/>
  <c r="E43" i="10"/>
  <c r="E10" i="10"/>
  <c r="E9" i="10"/>
  <c r="E7" i="10"/>
  <c r="E6" i="10"/>
  <c r="E22" i="12"/>
  <c r="E13" i="12"/>
  <c r="E20" i="12"/>
  <c r="E27" i="12"/>
  <c r="E42" i="12"/>
  <c r="E28" i="12"/>
  <c r="E25" i="12"/>
  <c r="E14" i="12"/>
  <c r="D23" i="13"/>
  <c r="D14" i="13"/>
  <c r="D21" i="13"/>
  <c r="D34" i="13"/>
  <c r="D30" i="13"/>
  <c r="D29" i="13"/>
  <c r="D26" i="13"/>
  <c r="D15" i="13"/>
  <c r="D10" i="13"/>
  <c r="D9" i="13"/>
  <c r="D41" i="13" l="1"/>
  <c r="D40" i="13"/>
  <c r="D39" i="13"/>
  <c r="D38" i="13"/>
  <c r="D36" i="13"/>
  <c r="D35" i="13"/>
  <c r="D33" i="13"/>
  <c r="D32" i="13"/>
  <c r="D28" i="13"/>
  <c r="D25" i="13"/>
  <c r="D22" i="13"/>
  <c r="D19" i="13"/>
  <c r="D5" i="13"/>
  <c r="D27" i="13"/>
  <c r="D17" i="13"/>
  <c r="D16" i="13"/>
  <c r="D44" i="13"/>
  <c r="D12" i="13"/>
  <c r="D43" i="13"/>
  <c r="D42" i="13"/>
  <c r="D8" i="13"/>
  <c r="D7" i="13"/>
  <c r="D6" i="13"/>
  <c r="D34" i="6"/>
  <c r="D33" i="6"/>
  <c r="D30" i="6"/>
  <c r="D29" i="6"/>
  <c r="D27" i="6"/>
  <c r="D20" i="6"/>
  <c r="D42" i="6"/>
  <c r="D22" i="6"/>
  <c r="D39" i="6"/>
  <c r="D37" i="6"/>
  <c r="D32" i="6"/>
  <c r="D24" i="6"/>
  <c r="D4" i="6"/>
  <c r="D11" i="6"/>
  <c r="D9" i="6"/>
  <c r="D7" i="6"/>
  <c r="D34" i="20"/>
  <c r="D22" i="20"/>
  <c r="D15" i="20"/>
  <c r="D23" i="10"/>
  <c r="D14" i="10"/>
  <c r="D21" i="10"/>
  <c r="D29" i="10"/>
  <c r="D26" i="10"/>
  <c r="D5" i="10"/>
  <c r="D41" i="10"/>
  <c r="D40" i="10"/>
  <c r="D39" i="10"/>
  <c r="D38" i="10"/>
  <c r="D36" i="10"/>
  <c r="D35" i="10"/>
  <c r="D32" i="10"/>
  <c r="D22" i="10"/>
  <c r="D19" i="10"/>
  <c r="D27" i="10"/>
  <c r="D17" i="10"/>
  <c r="D16" i="10"/>
  <c r="D15" i="10"/>
  <c r="D10" i="10"/>
  <c r="D9" i="10"/>
  <c r="D7" i="10"/>
  <c r="D6" i="10"/>
  <c r="D33" i="10"/>
  <c r="D28" i="10"/>
  <c r="D25" i="10"/>
  <c r="D44" i="10"/>
  <c r="D12" i="10"/>
  <c r="D43" i="10"/>
  <c r="D42" i="10"/>
  <c r="D8" i="10"/>
  <c r="D34" i="5"/>
  <c r="D33" i="5"/>
  <c r="D29" i="5"/>
  <c r="D27" i="5"/>
  <c r="D22" i="5"/>
  <c r="D20" i="5"/>
  <c r="D42" i="5"/>
  <c r="D39" i="5"/>
  <c r="D37" i="5"/>
  <c r="D32" i="5"/>
  <c r="D24" i="5"/>
  <c r="D4" i="5"/>
  <c r="D16" i="5"/>
  <c r="D11" i="5"/>
  <c r="D9" i="5"/>
  <c r="D7" i="5"/>
  <c r="D22" i="12"/>
  <c r="D13" i="12"/>
  <c r="D20" i="12"/>
  <c r="D33" i="12"/>
  <c r="D29" i="12"/>
  <c r="D27" i="12"/>
  <c r="D42" i="12"/>
  <c r="D28" i="12"/>
  <c r="D25" i="12"/>
  <c r="D14" i="12"/>
  <c r="D39" i="12"/>
  <c r="D38" i="12"/>
  <c r="D37" i="12"/>
  <c r="D35" i="12"/>
  <c r="D34" i="12"/>
  <c r="D32" i="12"/>
  <c r="D31" i="12"/>
  <c r="D24" i="12"/>
  <c r="D21" i="12"/>
  <c r="D26" i="12"/>
  <c r="D16" i="12"/>
  <c r="D15" i="12"/>
  <c r="D43" i="12"/>
  <c r="D11" i="12"/>
  <c r="D41" i="12"/>
  <c r="D9" i="12"/>
  <c r="D8" i="12"/>
  <c r="D7" i="12"/>
  <c r="D6" i="12"/>
  <c r="D5" i="12"/>
  <c r="C34" i="20"/>
  <c r="C22" i="20"/>
  <c r="C15" i="20"/>
  <c r="N45" i="18" l="1"/>
  <c r="M45" i="18"/>
  <c r="L45" i="18"/>
  <c r="K45" i="18"/>
  <c r="J45" i="18"/>
  <c r="I45" i="18"/>
  <c r="H45" i="18"/>
  <c r="G45" i="18"/>
  <c r="F45" i="18"/>
  <c r="E45" i="18"/>
  <c r="D45" i="18"/>
  <c r="C45" i="18"/>
  <c r="O37" i="18"/>
  <c r="O27" i="18"/>
  <c r="O4" i="18"/>
  <c r="N45" i="16"/>
  <c r="M45" i="16"/>
  <c r="L45" i="16"/>
  <c r="K45" i="16"/>
  <c r="J45" i="16"/>
  <c r="I45" i="16"/>
  <c r="H45" i="16"/>
  <c r="G45" i="16"/>
  <c r="F45" i="16"/>
  <c r="E45" i="16"/>
  <c r="D45" i="16"/>
  <c r="C45" i="16"/>
  <c r="O40" i="16"/>
  <c r="O33" i="16"/>
  <c r="O4" i="16"/>
  <c r="O46" i="5"/>
  <c r="N45" i="5"/>
  <c r="M26" i="19" s="1"/>
  <c r="M27" i="19" s="1"/>
  <c r="M45" i="5"/>
  <c r="L26" i="19" s="1"/>
  <c r="L27" i="19" s="1"/>
  <c r="L45" i="5"/>
  <c r="K26" i="19" s="1"/>
  <c r="K27" i="19" s="1"/>
  <c r="K45" i="5"/>
  <c r="J26" i="19" s="1"/>
  <c r="J27" i="19" s="1"/>
  <c r="I26" i="19"/>
  <c r="I27" i="19" s="1"/>
  <c r="I45" i="5"/>
  <c r="H26" i="19" s="1"/>
  <c r="H27" i="19" s="1"/>
  <c r="H45" i="5"/>
  <c r="G26" i="19" s="1"/>
  <c r="G27" i="19" s="1"/>
  <c r="G45" i="5"/>
  <c r="F26" i="19" s="1"/>
  <c r="F27" i="19" s="1"/>
  <c r="F45" i="5"/>
  <c r="E26" i="19" s="1"/>
  <c r="E45" i="5"/>
  <c r="E47" i="5" s="1"/>
  <c r="D45" i="5"/>
  <c r="D47" i="5" s="1"/>
  <c r="O44" i="5"/>
  <c r="C42" i="5"/>
  <c r="O42" i="5" s="1"/>
  <c r="C39" i="5"/>
  <c r="O39" i="5" s="1"/>
  <c r="C37" i="5"/>
  <c r="O37" i="5" s="1"/>
  <c r="C34" i="5"/>
  <c r="O34" i="5" s="1"/>
  <c r="O33" i="5"/>
  <c r="C33" i="5"/>
  <c r="C32" i="5"/>
  <c r="O32" i="5" s="1"/>
  <c r="O30" i="5"/>
  <c r="C29" i="5"/>
  <c r="O29" i="5" s="1"/>
  <c r="C27" i="5"/>
  <c r="O27" i="5" s="1"/>
  <c r="C24" i="5"/>
  <c r="O24" i="5" s="1"/>
  <c r="C22" i="5"/>
  <c r="O22" i="5" s="1"/>
  <c r="C20" i="5"/>
  <c r="O20" i="5" s="1"/>
  <c r="C16" i="5"/>
  <c r="O16" i="5" s="1"/>
  <c r="C11" i="5"/>
  <c r="O11" i="5" s="1"/>
  <c r="C9" i="5"/>
  <c r="O9" i="5" s="1"/>
  <c r="C7" i="5"/>
  <c r="O7" i="5" s="1"/>
  <c r="C4" i="5"/>
  <c r="O4" i="5" s="1"/>
  <c r="O46" i="6"/>
  <c r="N45" i="6"/>
  <c r="M45" i="6"/>
  <c r="L45" i="6"/>
  <c r="K45" i="6"/>
  <c r="J45" i="6"/>
  <c r="I45" i="6"/>
  <c r="H45" i="6"/>
  <c r="G45" i="6"/>
  <c r="F45" i="6"/>
  <c r="E45" i="6"/>
  <c r="E47" i="6" s="1"/>
  <c r="D45" i="6"/>
  <c r="D47" i="6" s="1"/>
  <c r="O44" i="6"/>
  <c r="C42" i="6"/>
  <c r="O42" i="6" s="1"/>
  <c r="C39" i="6"/>
  <c r="O39" i="6" s="1"/>
  <c r="O37" i="6"/>
  <c r="C37" i="6"/>
  <c r="O36" i="6"/>
  <c r="C34" i="6"/>
  <c r="O34" i="6" s="1"/>
  <c r="C33" i="6"/>
  <c r="O33" i="6" s="1"/>
  <c r="C32" i="6"/>
  <c r="O32" i="6" s="1"/>
  <c r="O30" i="6"/>
  <c r="C29" i="6"/>
  <c r="O29" i="6" s="1"/>
  <c r="O27" i="6"/>
  <c r="C27" i="6"/>
  <c r="O25" i="6"/>
  <c r="C24" i="6"/>
  <c r="O24" i="6" s="1"/>
  <c r="C22" i="6"/>
  <c r="O22" i="6" s="1"/>
  <c r="C20" i="6"/>
  <c r="O20" i="6" s="1"/>
  <c r="C11" i="6"/>
  <c r="O11" i="6" s="1"/>
  <c r="C9" i="6"/>
  <c r="O9" i="6" s="1"/>
  <c r="C7" i="6"/>
  <c r="O7" i="6" s="1"/>
  <c r="C4" i="6"/>
  <c r="O49" i="13"/>
  <c r="N46" i="13"/>
  <c r="N48" i="13" s="1"/>
  <c r="M16" i="19" s="1"/>
  <c r="M17" i="19" s="1"/>
  <c r="M46" i="13"/>
  <c r="M48" i="13" s="1"/>
  <c r="L16" i="19" s="1"/>
  <c r="L17" i="19" s="1"/>
  <c r="L46" i="13"/>
  <c r="L48" i="13" s="1"/>
  <c r="K16" i="19" s="1"/>
  <c r="K17" i="19" s="1"/>
  <c r="K46" i="13"/>
  <c r="K48" i="13" s="1"/>
  <c r="J16" i="19" s="1"/>
  <c r="J17" i="19" s="1"/>
  <c r="J46" i="13"/>
  <c r="J48" i="13" s="1"/>
  <c r="I16" i="19" s="1"/>
  <c r="I17" i="19" s="1"/>
  <c r="I46" i="13"/>
  <c r="I48" i="13" s="1"/>
  <c r="H16" i="19" s="1"/>
  <c r="H17" i="19" s="1"/>
  <c r="H46" i="13"/>
  <c r="H48" i="13" s="1"/>
  <c r="G16" i="19" s="1"/>
  <c r="G17" i="19" s="1"/>
  <c r="G46" i="13"/>
  <c r="G48" i="13" s="1"/>
  <c r="F16" i="19" s="1"/>
  <c r="F17" i="19" s="1"/>
  <c r="F46" i="13"/>
  <c r="F48" i="13" s="1"/>
  <c r="E46" i="13"/>
  <c r="E48" i="13" s="1"/>
  <c r="D46" i="13"/>
  <c r="O45" i="13"/>
  <c r="C44" i="13"/>
  <c r="O44" i="13" s="1"/>
  <c r="O43" i="13"/>
  <c r="C43" i="13"/>
  <c r="C42" i="13"/>
  <c r="O42" i="13" s="1"/>
  <c r="O41" i="13"/>
  <c r="O40" i="13"/>
  <c r="O39" i="13"/>
  <c r="C38" i="13"/>
  <c r="O38" i="13" s="1"/>
  <c r="C37" i="13"/>
  <c r="O37" i="13" s="1"/>
  <c r="C36" i="13"/>
  <c r="O36" i="13" s="1"/>
  <c r="C35" i="13"/>
  <c r="O35" i="13" s="1"/>
  <c r="C34" i="13"/>
  <c r="O34" i="13" s="1"/>
  <c r="C33" i="13"/>
  <c r="O33" i="13" s="1"/>
  <c r="C32" i="13"/>
  <c r="O32" i="13" s="1"/>
  <c r="O31" i="13"/>
  <c r="C30" i="13"/>
  <c r="O30" i="13" s="1"/>
  <c r="C29" i="13"/>
  <c r="O29" i="13" s="1"/>
  <c r="C28" i="13"/>
  <c r="O28" i="13" s="1"/>
  <c r="O27" i="13"/>
  <c r="C27" i="13"/>
  <c r="C26" i="13"/>
  <c r="O26" i="13" s="1"/>
  <c r="C25" i="13"/>
  <c r="O25" i="13" s="1"/>
  <c r="O24" i="13"/>
  <c r="C23" i="13"/>
  <c r="O23" i="13" s="1"/>
  <c r="C22" i="13"/>
  <c r="O22" i="13" s="1"/>
  <c r="C21" i="13"/>
  <c r="O21" i="13" s="1"/>
  <c r="O20" i="13"/>
  <c r="C19" i="13"/>
  <c r="O19" i="13" s="1"/>
  <c r="O18" i="13"/>
  <c r="C17" i="13"/>
  <c r="O17" i="13" s="1"/>
  <c r="C16" i="13"/>
  <c r="C15" i="13"/>
  <c r="O15" i="13" s="1"/>
  <c r="O14" i="13"/>
  <c r="O13" i="13"/>
  <c r="C12" i="13"/>
  <c r="O12" i="13" s="1"/>
  <c r="O11" i="13"/>
  <c r="C10" i="13"/>
  <c r="O10" i="13" s="1"/>
  <c r="C9" i="13"/>
  <c r="O9" i="13" s="1"/>
  <c r="O8" i="13"/>
  <c r="C8" i="13"/>
  <c r="C7" i="13"/>
  <c r="O7" i="13" s="1"/>
  <c r="C6" i="13"/>
  <c r="O6" i="13" s="1"/>
  <c r="C5" i="13"/>
  <c r="O5" i="13" s="1"/>
  <c r="O48" i="12"/>
  <c r="N45" i="12"/>
  <c r="N47" i="12" s="1"/>
  <c r="M45" i="12"/>
  <c r="M47" i="12" s="1"/>
  <c r="L45" i="12"/>
  <c r="L47" i="12" s="1"/>
  <c r="K45" i="12"/>
  <c r="K47" i="12" s="1"/>
  <c r="J45" i="12"/>
  <c r="J47" i="12" s="1"/>
  <c r="I45" i="12"/>
  <c r="I47" i="12" s="1"/>
  <c r="H45" i="12"/>
  <c r="H47" i="12" s="1"/>
  <c r="G45" i="12"/>
  <c r="G47" i="12" s="1"/>
  <c r="F45" i="12"/>
  <c r="F47" i="12" s="1"/>
  <c r="E45" i="12"/>
  <c r="E47" i="12" s="1"/>
  <c r="E49" i="12" s="1"/>
  <c r="D45" i="12"/>
  <c r="O44" i="12"/>
  <c r="C43" i="12"/>
  <c r="O43" i="12" s="1"/>
  <c r="C42" i="12"/>
  <c r="O42" i="12" s="1"/>
  <c r="C41" i="12"/>
  <c r="O41" i="12" s="1"/>
  <c r="C40" i="12"/>
  <c r="O40" i="12" s="1"/>
  <c r="C39" i="12"/>
  <c r="O39" i="12" s="1"/>
  <c r="C38" i="12"/>
  <c r="O38" i="12" s="1"/>
  <c r="C37" i="12"/>
  <c r="O37" i="12" s="1"/>
  <c r="O36" i="12"/>
  <c r="C35" i="12"/>
  <c r="O35" i="12" s="1"/>
  <c r="C34" i="12"/>
  <c r="O34" i="12" s="1"/>
  <c r="C33" i="12"/>
  <c r="O33" i="12" s="1"/>
  <c r="C32" i="12"/>
  <c r="O32" i="12" s="1"/>
  <c r="C31" i="12"/>
  <c r="O31" i="12" s="1"/>
  <c r="O30" i="12"/>
  <c r="O29" i="12"/>
  <c r="C29" i="12"/>
  <c r="C28" i="12"/>
  <c r="O28" i="12" s="1"/>
  <c r="C27" i="12"/>
  <c r="O27" i="12" s="1"/>
  <c r="C26" i="12"/>
  <c r="O26" i="12" s="1"/>
  <c r="O25" i="12"/>
  <c r="C25" i="12"/>
  <c r="C24" i="12"/>
  <c r="O24" i="12" s="1"/>
  <c r="O23" i="12"/>
  <c r="C22" i="12"/>
  <c r="O22" i="12" s="1"/>
  <c r="C21" i="12"/>
  <c r="O21" i="12" s="1"/>
  <c r="C20" i="12"/>
  <c r="O20" i="12" s="1"/>
  <c r="O19" i="12"/>
  <c r="C18" i="12"/>
  <c r="O18" i="12" s="1"/>
  <c r="O17" i="12"/>
  <c r="C16" i="12"/>
  <c r="O16" i="12" s="1"/>
  <c r="C15" i="12"/>
  <c r="O15" i="12" s="1"/>
  <c r="C14" i="12"/>
  <c r="O14" i="12" s="1"/>
  <c r="C13" i="12"/>
  <c r="O13" i="12" s="1"/>
  <c r="O12" i="12"/>
  <c r="O11" i="12"/>
  <c r="C11" i="12"/>
  <c r="C9" i="12"/>
  <c r="O9" i="12" s="1"/>
  <c r="C8" i="12"/>
  <c r="O8" i="12" s="1"/>
  <c r="C7" i="12"/>
  <c r="O7" i="12" s="1"/>
  <c r="C6" i="12"/>
  <c r="O6" i="12" s="1"/>
  <c r="C5" i="12"/>
  <c r="O5" i="12" s="1"/>
  <c r="C4" i="12"/>
  <c r="O4" i="12" s="1"/>
  <c r="O47" i="20"/>
  <c r="N46" i="20"/>
  <c r="N48" i="20" s="1"/>
  <c r="M46" i="20"/>
  <c r="M48" i="20" s="1"/>
  <c r="L46" i="20"/>
  <c r="K46" i="20"/>
  <c r="J46" i="20"/>
  <c r="I46" i="20"/>
  <c r="H46" i="20"/>
  <c r="G46" i="20"/>
  <c r="F46" i="20"/>
  <c r="F48" i="20" s="1"/>
  <c r="E46" i="20"/>
  <c r="D46" i="20"/>
  <c r="D48" i="20" s="1"/>
  <c r="C46" i="20"/>
  <c r="C48" i="20" s="1"/>
  <c r="O45" i="20"/>
  <c r="O44" i="20"/>
  <c r="O43" i="20"/>
  <c r="O42" i="20"/>
  <c r="O41" i="20"/>
  <c r="O40" i="20"/>
  <c r="O39" i="20"/>
  <c r="O38" i="20"/>
  <c r="O37" i="20"/>
  <c r="O36" i="20"/>
  <c r="O35" i="20"/>
  <c r="O34" i="20"/>
  <c r="O33" i="20"/>
  <c r="O32" i="20"/>
  <c r="O31" i="20"/>
  <c r="O30" i="20"/>
  <c r="O29" i="20"/>
  <c r="O28" i="20"/>
  <c r="O27" i="20"/>
  <c r="O26" i="20"/>
  <c r="O25" i="20"/>
  <c r="O24" i="20"/>
  <c r="O23" i="20"/>
  <c r="O22" i="20"/>
  <c r="O21" i="20"/>
  <c r="O20" i="20"/>
  <c r="O19" i="20"/>
  <c r="O18" i="20"/>
  <c r="O17" i="20"/>
  <c r="O16" i="20"/>
  <c r="O15" i="20"/>
  <c r="O14" i="20"/>
  <c r="O13" i="20"/>
  <c r="O12" i="20"/>
  <c r="O10" i="20"/>
  <c r="O9" i="20"/>
  <c r="O8" i="20"/>
  <c r="O7" i="20"/>
  <c r="O6" i="20"/>
  <c r="O5" i="20"/>
  <c r="O47" i="10"/>
  <c r="N46" i="10"/>
  <c r="M46" i="10"/>
  <c r="L46" i="10"/>
  <c r="L48" i="10" s="1"/>
  <c r="K46" i="10"/>
  <c r="J46" i="10"/>
  <c r="I46" i="10"/>
  <c r="H46" i="10"/>
  <c r="G46" i="10"/>
  <c r="F46" i="10"/>
  <c r="E46" i="10"/>
  <c r="E48" i="10" s="1"/>
  <c r="D46" i="10"/>
  <c r="D48" i="10" s="1"/>
  <c r="O45" i="10"/>
  <c r="C44" i="10"/>
  <c r="O44" i="10" s="1"/>
  <c r="C43" i="10"/>
  <c r="O43" i="10" s="1"/>
  <c r="O42" i="10"/>
  <c r="C42" i="10"/>
  <c r="C41" i="10"/>
  <c r="O41" i="10" s="1"/>
  <c r="C40" i="10"/>
  <c r="O40" i="10" s="1"/>
  <c r="C39" i="10"/>
  <c r="O39" i="10" s="1"/>
  <c r="C38" i="10"/>
  <c r="O38" i="10" s="1"/>
  <c r="O37" i="10"/>
  <c r="C36" i="10"/>
  <c r="O36" i="10" s="1"/>
  <c r="C35" i="10"/>
  <c r="O35" i="10" s="1"/>
  <c r="O34" i="10"/>
  <c r="C33" i="10"/>
  <c r="O33" i="10" s="1"/>
  <c r="C32" i="10"/>
  <c r="O32" i="10" s="1"/>
  <c r="O31" i="10"/>
  <c r="O30" i="10"/>
  <c r="C29" i="10"/>
  <c r="O29" i="10" s="1"/>
  <c r="O28" i="10"/>
  <c r="C28" i="10"/>
  <c r="C27" i="10"/>
  <c r="O27" i="10" s="1"/>
  <c r="C26" i="10"/>
  <c r="O26" i="10" s="1"/>
  <c r="C25" i="10"/>
  <c r="O25" i="10" s="1"/>
  <c r="O24" i="10"/>
  <c r="C23" i="10"/>
  <c r="O23" i="10" s="1"/>
  <c r="C22" i="10"/>
  <c r="O22" i="10" s="1"/>
  <c r="C21" i="10"/>
  <c r="O21" i="10" s="1"/>
  <c r="O20" i="10"/>
  <c r="C19" i="10"/>
  <c r="O19" i="10" s="1"/>
  <c r="O18" i="10"/>
  <c r="C17" i="10"/>
  <c r="O17" i="10" s="1"/>
  <c r="C16" i="10"/>
  <c r="O16" i="10" s="1"/>
  <c r="C15" i="10"/>
  <c r="O15" i="10" s="1"/>
  <c r="C14" i="10"/>
  <c r="O14" i="10" s="1"/>
  <c r="O13" i="10"/>
  <c r="C12" i="10"/>
  <c r="O12" i="10" s="1"/>
  <c r="C10" i="10"/>
  <c r="O10" i="10" s="1"/>
  <c r="O9" i="10"/>
  <c r="C9" i="10"/>
  <c r="C8" i="10"/>
  <c r="O8" i="10" s="1"/>
  <c r="C7" i="10"/>
  <c r="O7" i="10" s="1"/>
  <c r="C6" i="10"/>
  <c r="O6" i="10" s="1"/>
  <c r="C5" i="10"/>
  <c r="O5" i="10" s="1"/>
  <c r="N25" i="19"/>
  <c r="N24" i="19"/>
  <c r="N20" i="19"/>
  <c r="N19" i="19"/>
  <c r="N15" i="19"/>
  <c r="N14" i="19"/>
  <c r="N9" i="19"/>
  <c r="N5" i="19"/>
  <c r="C46" i="13" l="1"/>
  <c r="C48" i="13" s="1"/>
  <c r="I6" i="19"/>
  <c r="C45" i="6"/>
  <c r="C47" i="6" s="1"/>
  <c r="M6" i="19"/>
  <c r="M7" i="19" s="1"/>
  <c r="L6" i="19"/>
  <c r="L7" i="19" s="1"/>
  <c r="M47" i="5"/>
  <c r="J48" i="20"/>
  <c r="I7" i="19"/>
  <c r="I48" i="20"/>
  <c r="H48" i="20"/>
  <c r="G6" i="19"/>
  <c r="G7" i="19" s="1"/>
  <c r="L48" i="20"/>
  <c r="K6" i="19"/>
  <c r="K7" i="19" s="1"/>
  <c r="K48" i="20"/>
  <c r="J6" i="19"/>
  <c r="J7" i="19" s="1"/>
  <c r="H6" i="19"/>
  <c r="H7" i="19" s="1"/>
  <c r="H48" i="10"/>
  <c r="M48" i="10"/>
  <c r="K11" i="19"/>
  <c r="K12" i="19" s="1"/>
  <c r="L49" i="12"/>
  <c r="O16" i="13"/>
  <c r="O46" i="13" s="1"/>
  <c r="O50" i="13" s="1"/>
  <c r="O4" i="6"/>
  <c r="N47" i="6"/>
  <c r="M21" i="19"/>
  <c r="M22" i="19" s="1"/>
  <c r="C46" i="10"/>
  <c r="C48" i="10" s="1"/>
  <c r="N48" i="10"/>
  <c r="H11" i="19"/>
  <c r="H12" i="19" s="1"/>
  <c r="I49" i="12"/>
  <c r="L11" i="19"/>
  <c r="L12" i="19" s="1"/>
  <c r="M49" i="12"/>
  <c r="I50" i="13"/>
  <c r="M50" i="13"/>
  <c r="C45" i="5"/>
  <c r="C47" i="5" s="1"/>
  <c r="J47" i="5"/>
  <c r="N47" i="5"/>
  <c r="O45" i="18"/>
  <c r="J11" i="19"/>
  <c r="J12" i="19" s="1"/>
  <c r="K49" i="12"/>
  <c r="K50" i="13"/>
  <c r="I48" i="10"/>
  <c r="C45" i="12"/>
  <c r="G11" i="19"/>
  <c r="G12" i="19" s="1"/>
  <c r="H49" i="12"/>
  <c r="D50" i="13"/>
  <c r="D48" i="13"/>
  <c r="H50" i="13"/>
  <c r="L50" i="13"/>
  <c r="I47" i="5"/>
  <c r="J48" i="10"/>
  <c r="K48" i="10"/>
  <c r="J49" i="12"/>
  <c r="I11" i="19"/>
  <c r="I12" i="19" s="1"/>
  <c r="N49" i="12"/>
  <c r="M11" i="19"/>
  <c r="M12" i="19" s="1"/>
  <c r="J50" i="13"/>
  <c r="N50" i="13"/>
  <c r="K47" i="5"/>
  <c r="H47" i="5"/>
  <c r="L47" i="5"/>
  <c r="G48" i="20"/>
  <c r="F6" i="19"/>
  <c r="F7" i="19" s="1"/>
  <c r="G50" i="13"/>
  <c r="G48" i="10"/>
  <c r="G47" i="5"/>
  <c r="F11" i="19"/>
  <c r="F12" i="19" s="1"/>
  <c r="G49" i="12"/>
  <c r="F50" i="13"/>
  <c r="E16" i="19"/>
  <c r="O48" i="13"/>
  <c r="F47" i="6"/>
  <c r="E21" i="19"/>
  <c r="J47" i="6"/>
  <c r="I21" i="19"/>
  <c r="I22" i="19" s="1"/>
  <c r="G47" i="6"/>
  <c r="F21" i="19"/>
  <c r="F22" i="19" s="1"/>
  <c r="I47" i="6"/>
  <c r="H21" i="19"/>
  <c r="H22" i="19" s="1"/>
  <c r="M47" i="6"/>
  <c r="L21" i="19"/>
  <c r="L22" i="19" s="1"/>
  <c r="H47" i="6"/>
  <c r="G21" i="19"/>
  <c r="G22" i="19" s="1"/>
  <c r="L47" i="6"/>
  <c r="K21" i="19"/>
  <c r="K22" i="19" s="1"/>
  <c r="K47" i="6"/>
  <c r="J21" i="19"/>
  <c r="J22" i="19" s="1"/>
  <c r="F48" i="10"/>
  <c r="E27" i="19"/>
  <c r="N26" i="19"/>
  <c r="N27" i="19" s="1"/>
  <c r="F47" i="5"/>
  <c r="E11" i="19"/>
  <c r="F49" i="12"/>
  <c r="O45" i="12"/>
  <c r="C47" i="12"/>
  <c r="C49" i="12" s="1"/>
  <c r="E50" i="13"/>
  <c r="C50" i="13"/>
  <c r="D47" i="12"/>
  <c r="E48" i="20"/>
  <c r="O45" i="16"/>
  <c r="O45" i="6"/>
  <c r="O47" i="6" s="1"/>
  <c r="O46" i="10"/>
  <c r="O48" i="10" s="1"/>
  <c r="O45" i="5"/>
  <c r="O47" i="5" s="1"/>
  <c r="O46" i="20"/>
  <c r="O48" i="20" s="1"/>
  <c r="N6" i="19" l="1"/>
  <c r="N7" i="19" s="1"/>
  <c r="E17" i="19"/>
  <c r="N16" i="19"/>
  <c r="N17" i="19" s="1"/>
  <c r="E22" i="19"/>
  <c r="N21" i="19"/>
  <c r="N22" i="19" s="1"/>
  <c r="E12" i="19"/>
  <c r="N11" i="19"/>
  <c r="N12" i="19" s="1"/>
  <c r="O47" i="12"/>
  <c r="O49" i="12" s="1"/>
  <c r="D49" i="12"/>
</calcChain>
</file>

<file path=xl/sharedStrings.xml><?xml version="1.0" encoding="utf-8"?>
<sst xmlns="http://schemas.openxmlformats.org/spreadsheetml/2006/main" count="508" uniqueCount="80">
  <si>
    <t>Bigues i Riells</t>
  </si>
  <si>
    <t>Caldes de Montbui</t>
  </si>
  <si>
    <t>Campins</t>
  </si>
  <si>
    <t>Canovelles</t>
  </si>
  <si>
    <t>Cardedeu</t>
  </si>
  <si>
    <t>Castellcir</t>
  </si>
  <si>
    <t>Castellterçol</t>
  </si>
  <si>
    <t>Fogars de Montclús</t>
  </si>
  <si>
    <t>Granera</t>
  </si>
  <si>
    <t>Granollers</t>
  </si>
  <si>
    <t>Gualba</t>
  </si>
  <si>
    <t>Lliçà d'Amunt</t>
  </si>
  <si>
    <t>Lliçà de Vall</t>
  </si>
  <si>
    <t>Llinars del Vallès</t>
  </si>
  <si>
    <t>Martorelles</t>
  </si>
  <si>
    <t>Mollet del Vallès</t>
  </si>
  <si>
    <t>Montmeló</t>
  </si>
  <si>
    <t>Montornès</t>
  </si>
  <si>
    <t>Montseny</t>
  </si>
  <si>
    <t>Parets del Vallès</t>
  </si>
  <si>
    <t>Sant Celoni</t>
  </si>
  <si>
    <t>Tagamanent</t>
  </si>
  <si>
    <t>Vallgorguina</t>
  </si>
  <si>
    <t>Vallromanes</t>
  </si>
  <si>
    <t>Vilalba Sasserra</t>
  </si>
  <si>
    <t>Vilanova del Vallès</t>
  </si>
  <si>
    <t>Gener</t>
  </si>
  <si>
    <t>Febrer</t>
  </si>
  <si>
    <t>Març</t>
  </si>
  <si>
    <t>Abril</t>
  </si>
  <si>
    <t>Maig</t>
  </si>
  <si>
    <t>Juny</t>
  </si>
  <si>
    <t>Juliol</t>
  </si>
  <si>
    <t>Agost</t>
  </si>
  <si>
    <t>Setembre</t>
  </si>
  <si>
    <t>Octubre</t>
  </si>
  <si>
    <t>Novembre</t>
  </si>
  <si>
    <t>Desembre</t>
  </si>
  <si>
    <t>TOTAL</t>
  </si>
  <si>
    <t>Ametlla del Vallès, L'</t>
  </si>
  <si>
    <t>Franqueses del Vallès, Les</t>
  </si>
  <si>
    <t>Garriga, La</t>
  </si>
  <si>
    <t>Llagosta, La</t>
  </si>
  <si>
    <t>Roca del Vallès, La</t>
  </si>
  <si>
    <t>Sant Antoni de Vilamajor</t>
  </si>
  <si>
    <t>Sant Esteve de Palautordera</t>
  </si>
  <si>
    <t>Sant Feliu de Codines</t>
  </si>
  <si>
    <t>Sant Fost de Campsentelles</t>
  </si>
  <si>
    <t>Sant Pere de Vilamajor</t>
  </si>
  <si>
    <t>Sant Quirze Safaja</t>
  </si>
  <si>
    <t>Santa Eulàlia de Ronçana</t>
  </si>
  <si>
    <t>Santa Maria de Martorelles</t>
  </si>
  <si>
    <t>Santa Maria de Palautordera</t>
  </si>
  <si>
    <t>Àrees d'aportació i recollida Porta a porta d'Envasos</t>
  </si>
  <si>
    <t>Àrees d'aportació i recollida Porta a porta de Vidre</t>
  </si>
  <si>
    <t>Àrees d'aportació i recollida Porta a porta de RMO</t>
  </si>
  <si>
    <t>Àrees d'aportació i recollida Porta a porta de FORM</t>
  </si>
  <si>
    <t>Població</t>
  </si>
  <si>
    <t>TOTAL MENSUAL 2018</t>
  </si>
  <si>
    <t>Increment/Decrement</t>
  </si>
  <si>
    <t>Figaró-Montmany</t>
  </si>
  <si>
    <t>Núm.</t>
  </si>
  <si>
    <t xml:space="preserve">Núm. </t>
  </si>
  <si>
    <t>Paper/Cartró</t>
  </si>
  <si>
    <t>Envasos</t>
  </si>
  <si>
    <t>Vidre</t>
  </si>
  <si>
    <t>RMO</t>
  </si>
  <si>
    <t>FORM</t>
  </si>
  <si>
    <t>Paper i Cartró - Porta a porta, Mercat i papereres</t>
  </si>
  <si>
    <t>Àrees d'aportació i recollida complementària</t>
  </si>
  <si>
    <t>PAPER I CARTRÓ - 2019</t>
  </si>
  <si>
    <t>TOTAL MENSUAL 2019</t>
  </si>
  <si>
    <t>ENVASOS - 2019</t>
  </si>
  <si>
    <t>VIDRE - 2019</t>
  </si>
  <si>
    <t>RMO - 2019</t>
  </si>
  <si>
    <t>ORGÀNICA - 2019</t>
  </si>
  <si>
    <t>VERD - 2019</t>
  </si>
  <si>
    <t>VOLUMINOSOS - 2019</t>
  </si>
  <si>
    <t>% 19-18</t>
  </si>
  <si>
    <t>Deixalleries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</si>
</sst>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8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* #,##0.00\ [$€]_-;\-* #,##0.00\ [$€]_-;_-* &quot;-&quot;??\ [$€]_-;_-@_-"/>
    <numFmt numFmtId="167" formatCode="#,##0.00&quot;    &quot;;#,##0.00&quot;    &quot;;&quot;-&quot;#&quot;    &quot;;@&quot; &quot;"/>
    <numFmt numFmtId="168" formatCode="#,##0.00&quot; &quot;[$€-403];[Red]&quot;-&quot;#,##0.00&quot; &quot;[$€-403]"/>
    <numFmt numFmtId="169" formatCode="0.0%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rgb="FF000000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i/>
      <sz val="16"/>
      <color rgb="FF000000"/>
      <name val="Calibri"/>
      <family val="2"/>
    </font>
    <font>
      <b/>
      <i/>
      <u/>
      <sz val="11"/>
      <color rgb="FF000000"/>
      <name val="Calibri"/>
      <family val="2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/>
        <bgColor theme="5"/>
      </patternFill>
    </fill>
    <fill>
      <patternFill patternType="solid">
        <fgColor theme="0" tint="-4.9989318521683403E-2"/>
        <bgColor theme="6" tint="0.79998168889431442"/>
      </patternFill>
    </fill>
    <fill>
      <patternFill patternType="solid">
        <fgColor theme="8"/>
        <bgColor theme="8"/>
      </patternFill>
    </fill>
  </fills>
  <borders count="1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 style="medium">
        <color rgb="FF000000"/>
      </left>
      <right style="medium">
        <color rgb="FF000000"/>
      </right>
      <top style="dashed">
        <color rgb="FF000000"/>
      </top>
      <bottom style="dashed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dashed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dashed">
        <color rgb="FF000000"/>
      </bottom>
      <diagonal/>
    </border>
    <border>
      <left style="thin">
        <color rgb="FF000000"/>
      </left>
      <right style="thin">
        <color rgb="FF000000"/>
      </right>
      <top style="dashed">
        <color rgb="FF000000"/>
      </top>
      <bottom style="dashed">
        <color rgb="FF000000"/>
      </bottom>
      <diagonal/>
    </border>
    <border>
      <left style="thin">
        <color rgb="FF000000"/>
      </left>
      <right style="medium">
        <color indexed="64"/>
      </right>
      <top style="dashed">
        <color rgb="FF000000"/>
      </top>
      <bottom style="dashed">
        <color rgb="FF000000"/>
      </bottom>
      <diagonal/>
    </border>
    <border>
      <left style="thin">
        <color rgb="FF000000"/>
      </left>
      <right style="thin">
        <color rgb="FF000000"/>
      </right>
      <top style="dashed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dashed">
        <color rgb="FF000000"/>
      </bottom>
      <diagonal/>
    </border>
    <border>
      <left style="medium">
        <color rgb="FF000000"/>
      </left>
      <right style="thin">
        <color rgb="FF000000"/>
      </right>
      <top style="dashed">
        <color rgb="FF000000"/>
      </top>
      <bottom style="dashed">
        <color rgb="FF000000"/>
      </bottom>
      <diagonal/>
    </border>
    <border>
      <left style="medium">
        <color rgb="FF000000"/>
      </left>
      <right style="thin">
        <color rgb="FF000000"/>
      </right>
      <top style="dashed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indexed="64"/>
      </right>
      <top style="medium">
        <color indexed="64"/>
      </top>
      <bottom style="dashed">
        <color rgb="FF000000"/>
      </bottom>
      <diagonal/>
    </border>
    <border>
      <left style="thin">
        <color rgb="FF000000"/>
      </left>
      <right style="thin">
        <color indexed="64"/>
      </right>
      <top style="dashed">
        <color rgb="FF000000"/>
      </top>
      <bottom style="dashed">
        <color rgb="FF000000"/>
      </bottom>
      <diagonal/>
    </border>
    <border>
      <left style="thin">
        <color rgb="FF000000"/>
      </left>
      <right style="thin">
        <color indexed="64"/>
      </right>
      <top style="dashed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theme="1"/>
      </left>
      <right style="thin">
        <color theme="1"/>
      </right>
      <top style="dashed">
        <color theme="1"/>
      </top>
      <bottom style="dashed">
        <color theme="1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rgb="FF000000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rgb="FF000000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rgb="FF000000"/>
      </bottom>
      <diagonal/>
    </border>
    <border>
      <left style="thin">
        <color indexed="64"/>
      </left>
      <right style="thin">
        <color indexed="64"/>
      </right>
      <top style="dashed">
        <color rgb="FF000000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rgb="FF000000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rgb="FF000000"/>
      </right>
      <top/>
      <bottom style="dashed">
        <color rgb="FF000000"/>
      </bottom>
      <diagonal/>
    </border>
    <border>
      <left/>
      <right style="medium">
        <color rgb="FF000000"/>
      </right>
      <top style="dashed">
        <color rgb="FF000000"/>
      </top>
      <bottom style="dashed">
        <color rgb="FF000000"/>
      </bottom>
      <diagonal/>
    </border>
    <border>
      <left/>
      <right style="medium">
        <color rgb="FF000000"/>
      </right>
      <top style="dashed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/>
      <top/>
      <bottom style="dashed">
        <color rgb="FF000000"/>
      </bottom>
      <diagonal/>
    </border>
    <border>
      <left/>
      <right/>
      <top style="dashed">
        <color rgb="FF000000"/>
      </top>
      <bottom style="dashed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theme="1"/>
      </bottom>
      <diagonal/>
    </border>
    <border>
      <left style="medium">
        <color indexed="64"/>
      </left>
      <right style="medium">
        <color indexed="64"/>
      </right>
      <top style="dashed">
        <color theme="1"/>
      </top>
      <bottom style="dashed">
        <color theme="1"/>
      </bottom>
      <diagonal/>
    </border>
    <border>
      <left style="medium">
        <color indexed="64"/>
      </left>
      <right style="medium">
        <color indexed="64"/>
      </right>
      <top style="dashed">
        <color theme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theme="1"/>
      </bottom>
      <diagonal/>
    </border>
    <border>
      <left/>
      <right/>
      <top/>
      <bottom style="dashed">
        <color theme="1"/>
      </bottom>
      <diagonal/>
    </border>
    <border>
      <left style="medium">
        <color indexed="64"/>
      </left>
      <right style="thin">
        <color theme="1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ashed">
        <color theme="1"/>
      </top>
      <bottom style="dashed">
        <color theme="1"/>
      </bottom>
      <diagonal/>
    </border>
    <border>
      <left/>
      <right/>
      <top style="dashed">
        <color theme="1"/>
      </top>
      <bottom/>
      <diagonal/>
    </border>
    <border>
      <left style="medium">
        <color indexed="64"/>
      </left>
      <right style="thin">
        <color theme="1"/>
      </right>
      <top style="medium">
        <color indexed="64"/>
      </top>
      <bottom style="dashed">
        <color theme="1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 style="dashed">
        <color theme="1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dashed">
        <color theme="1"/>
      </bottom>
      <diagonal/>
    </border>
    <border>
      <left style="medium">
        <color indexed="64"/>
      </left>
      <right style="thin">
        <color theme="1"/>
      </right>
      <top style="dashed">
        <color theme="1"/>
      </top>
      <bottom style="dashed">
        <color theme="1"/>
      </bottom>
      <diagonal/>
    </border>
    <border>
      <left style="thin">
        <color theme="1"/>
      </left>
      <right style="medium">
        <color indexed="64"/>
      </right>
      <top style="dashed">
        <color theme="1"/>
      </top>
      <bottom style="dashed">
        <color theme="1"/>
      </bottom>
      <diagonal/>
    </border>
    <border>
      <left style="medium">
        <color indexed="64"/>
      </left>
      <right style="thin">
        <color theme="1"/>
      </right>
      <top style="dashed">
        <color theme="1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dashed">
        <color theme="1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dashed">
        <color theme="1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dashed">
        <color indexed="64"/>
      </top>
      <bottom style="dashed">
        <color indexed="64"/>
      </bottom>
      <diagonal/>
    </border>
    <border>
      <left style="thin">
        <color rgb="FF000000"/>
      </left>
      <right style="thin">
        <color rgb="FF000000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rgb="FF000000"/>
      </left>
      <right/>
      <top style="dashed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dashed">
        <color rgb="FF000000"/>
      </top>
      <bottom/>
      <diagonal/>
    </border>
    <border>
      <left/>
      <right/>
      <top style="dashed">
        <color rgb="FF000000"/>
      </top>
      <bottom/>
      <diagonal/>
    </border>
    <border>
      <left style="medium">
        <color rgb="FF000000"/>
      </left>
      <right style="thin">
        <color rgb="FF000000"/>
      </right>
      <top style="dashed">
        <color rgb="FF000000"/>
      </top>
      <bottom/>
      <diagonal/>
    </border>
    <border>
      <left style="thin">
        <color rgb="FF000000"/>
      </left>
      <right style="thin">
        <color rgb="FF000000"/>
      </right>
      <top style="dashed">
        <color rgb="FF000000"/>
      </top>
      <bottom/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dashed">
        <color rgb="FF000000"/>
      </top>
      <bottom style="dashed">
        <color rgb="FF000000"/>
      </bottom>
      <diagonal/>
    </border>
    <border>
      <left style="thin">
        <color rgb="FF000000"/>
      </left>
      <right/>
      <top style="dashed">
        <color rgb="FF000000"/>
      </top>
      <bottom/>
      <diagonal/>
    </border>
    <border>
      <left style="thin">
        <color indexed="64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</borders>
  <cellStyleXfs count="22">
    <xf numFmtId="0" fontId="0" fillId="0" borderId="0"/>
    <xf numFmtId="165" fontId="1" fillId="0" borderId="0" applyFont="0" applyFill="0" applyBorder="0" applyAlignment="0" applyProtection="0">
      <alignment vertical="center"/>
    </xf>
    <xf numFmtId="164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0" fontId="2" fillId="0" borderId="0"/>
    <xf numFmtId="0" fontId="1" fillId="0" borderId="0">
      <alignment vertical="center"/>
    </xf>
    <xf numFmtId="0" fontId="2" fillId="0" borderId="0"/>
    <xf numFmtId="9" fontId="1" fillId="0" borderId="0" applyFont="0" applyFill="0" applyBorder="0" applyAlignment="0" applyProtection="0">
      <alignment vertical="center"/>
    </xf>
    <xf numFmtId="0" fontId="1" fillId="0" borderId="0"/>
    <xf numFmtId="166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" fillId="0" borderId="0"/>
    <xf numFmtId="167" fontId="13" fillId="0" borderId="0"/>
    <xf numFmtId="0" fontId="14" fillId="0" borderId="0">
      <alignment horizontal="center"/>
    </xf>
    <xf numFmtId="0" fontId="14" fillId="0" borderId="0">
      <alignment horizontal="center"/>
    </xf>
    <xf numFmtId="0" fontId="14" fillId="0" borderId="0">
      <alignment horizontal="center" textRotation="90"/>
    </xf>
    <xf numFmtId="0" fontId="14" fillId="0" borderId="0">
      <alignment horizontal="center" textRotation="90"/>
    </xf>
    <xf numFmtId="0" fontId="15" fillId="0" borderId="0"/>
    <xf numFmtId="0" fontId="15" fillId="0" borderId="0"/>
    <xf numFmtId="168" fontId="15" fillId="0" borderId="0"/>
    <xf numFmtId="168" fontId="15" fillId="0" borderId="0"/>
  </cellStyleXfs>
  <cellXfs count="294">
    <xf numFmtId="0" fontId="0" fillId="0" borderId="0" xfId="0"/>
    <xf numFmtId="0" fontId="5" fillId="0" borderId="0" xfId="0" applyFont="1" applyProtection="1">
      <protection hidden="1"/>
    </xf>
    <xf numFmtId="3" fontId="0" fillId="0" borderId="0" xfId="0" applyNumberFormat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4" fillId="0" borderId="0" xfId="0" applyFont="1" applyProtection="1">
      <protection hidden="1"/>
    </xf>
    <xf numFmtId="3" fontId="4" fillId="0" borderId="10" xfId="0" applyNumberFormat="1" applyFont="1" applyBorder="1" applyAlignment="1" applyProtection="1">
      <alignment horizontal="center"/>
      <protection hidden="1"/>
    </xf>
    <xf numFmtId="3" fontId="4" fillId="0" borderId="11" xfId="0" applyNumberFormat="1" applyFont="1" applyBorder="1" applyAlignment="1" applyProtection="1">
      <alignment horizontal="center"/>
      <protection hidden="1"/>
    </xf>
    <xf numFmtId="3" fontId="4" fillId="0" borderId="12" xfId="0" applyNumberFormat="1" applyFont="1" applyBorder="1" applyAlignment="1" applyProtection="1">
      <alignment horizontal="center"/>
      <protection hidden="1"/>
    </xf>
    <xf numFmtId="3" fontId="4" fillId="0" borderId="13" xfId="0" applyNumberFormat="1" applyFont="1" applyBorder="1" applyAlignment="1" applyProtection="1">
      <alignment horizontal="center"/>
      <protection hidden="1"/>
    </xf>
    <xf numFmtId="3" fontId="0" fillId="0" borderId="4" xfId="0" applyNumberFormat="1" applyBorder="1" applyAlignment="1" applyProtection="1">
      <alignment horizontal="center"/>
      <protection hidden="1"/>
    </xf>
    <xf numFmtId="3" fontId="0" fillId="0" borderId="5" xfId="0" applyNumberFormat="1" applyBorder="1" applyAlignment="1" applyProtection="1">
      <alignment horizontal="center"/>
      <protection hidden="1"/>
    </xf>
    <xf numFmtId="3" fontId="0" fillId="0" borderId="6" xfId="0" applyNumberFormat="1" applyBorder="1" applyAlignment="1" applyProtection="1">
      <alignment horizontal="center"/>
      <protection hidden="1"/>
    </xf>
    <xf numFmtId="3" fontId="0" fillId="0" borderId="7" xfId="0" applyNumberFormat="1" applyBorder="1" applyAlignment="1" applyProtection="1">
      <alignment horizontal="center"/>
      <protection hidden="1"/>
    </xf>
    <xf numFmtId="3" fontId="0" fillId="0" borderId="14" xfId="0" applyNumberFormat="1" applyBorder="1" applyAlignment="1" applyProtection="1">
      <alignment horizontal="center"/>
      <protection hidden="1"/>
    </xf>
    <xf numFmtId="3" fontId="0" fillId="0" borderId="8" xfId="0" applyNumberFormat="1" applyBorder="1" applyAlignment="1" applyProtection="1">
      <alignment horizontal="center"/>
      <protection hidden="1"/>
    </xf>
    <xf numFmtId="3" fontId="0" fillId="0" borderId="9" xfId="0" applyNumberFormat="1" applyBorder="1" applyAlignment="1" applyProtection="1">
      <alignment horizontal="center"/>
      <protection hidden="1"/>
    </xf>
    <xf numFmtId="3" fontId="4" fillId="0" borderId="18" xfId="0" applyNumberFormat="1" applyFont="1" applyBorder="1" applyAlignment="1" applyProtection="1">
      <alignment horizontal="center"/>
      <protection hidden="1"/>
    </xf>
    <xf numFmtId="3" fontId="4" fillId="0" borderId="19" xfId="0" applyNumberFormat="1" applyFont="1" applyBorder="1" applyAlignment="1" applyProtection="1">
      <alignment horizontal="center"/>
      <protection hidden="1"/>
    </xf>
    <xf numFmtId="0" fontId="7" fillId="0" borderId="0" xfId="0" applyFont="1" applyAlignment="1" applyProtection="1">
      <alignment horizontal="left"/>
      <protection hidden="1"/>
    </xf>
    <xf numFmtId="3" fontId="7" fillId="0" borderId="0" xfId="0" applyNumberFormat="1" applyFont="1" applyAlignment="1" applyProtection="1">
      <alignment horizontal="center"/>
      <protection hidden="1"/>
    </xf>
    <xf numFmtId="3" fontId="0" fillId="0" borderId="0" xfId="0" applyNumberFormat="1" applyProtection="1">
      <protection hidden="1"/>
    </xf>
    <xf numFmtId="3" fontId="0" fillId="0" borderId="23" xfId="0" applyNumberFormat="1" applyBorder="1" applyAlignment="1" applyProtection="1">
      <alignment horizontal="center"/>
      <protection hidden="1"/>
    </xf>
    <xf numFmtId="0" fontId="4" fillId="0" borderId="13" xfId="0" applyFont="1" applyBorder="1" applyProtection="1">
      <protection hidden="1"/>
    </xf>
    <xf numFmtId="0" fontId="3" fillId="0" borderId="2" xfId="0" applyFont="1" applyBorder="1" applyAlignment="1" applyProtection="1">
      <alignment horizontal="left"/>
      <protection hidden="1"/>
    </xf>
    <xf numFmtId="0" fontId="3" fillId="0" borderId="3" xfId="0" applyFont="1" applyBorder="1" applyAlignment="1" applyProtection="1">
      <alignment horizontal="left"/>
      <protection hidden="1"/>
    </xf>
    <xf numFmtId="2" fontId="0" fillId="0" borderId="0" xfId="0" applyNumberFormat="1" applyProtection="1">
      <protection hidden="1"/>
    </xf>
    <xf numFmtId="0" fontId="3" fillId="0" borderId="1" xfId="0" applyFont="1" applyBorder="1" applyAlignment="1" applyProtection="1">
      <alignment horizontal="left"/>
      <protection hidden="1"/>
    </xf>
    <xf numFmtId="3" fontId="4" fillId="0" borderId="20" xfId="0" applyNumberFormat="1" applyFont="1" applyBorder="1" applyAlignment="1" applyProtection="1">
      <alignment horizontal="center"/>
      <protection hidden="1"/>
    </xf>
    <xf numFmtId="0" fontId="7" fillId="0" borderId="30" xfId="0" applyFont="1" applyBorder="1" applyAlignment="1" applyProtection="1">
      <alignment horizontal="left"/>
      <protection hidden="1"/>
    </xf>
    <xf numFmtId="3" fontId="7" fillId="0" borderId="18" xfId="0" applyNumberFormat="1" applyFont="1" applyBorder="1" applyAlignment="1" applyProtection="1">
      <alignment horizontal="center"/>
      <protection hidden="1"/>
    </xf>
    <xf numFmtId="3" fontId="7" fillId="0" borderId="19" xfId="0" applyNumberFormat="1" applyFont="1" applyBorder="1" applyAlignment="1" applyProtection="1">
      <alignment horizontal="center"/>
      <protection hidden="1"/>
    </xf>
    <xf numFmtId="3" fontId="7" fillId="0" borderId="21" xfId="0" applyNumberFormat="1" applyFont="1" applyBorder="1" applyAlignment="1" applyProtection="1">
      <alignment horizontal="center"/>
      <protection hidden="1"/>
    </xf>
    <xf numFmtId="3" fontId="7" fillId="0" borderId="30" xfId="0" applyNumberFormat="1" applyFont="1" applyBorder="1" applyAlignment="1" applyProtection="1">
      <alignment horizontal="center"/>
      <protection hidden="1"/>
    </xf>
    <xf numFmtId="3" fontId="0" fillId="0" borderId="34" xfId="0" applyNumberFormat="1" applyBorder="1" applyAlignment="1" applyProtection="1">
      <alignment horizontal="center"/>
      <protection hidden="1"/>
    </xf>
    <xf numFmtId="3" fontId="0" fillId="0" borderId="32" xfId="0" applyNumberFormat="1" applyBorder="1" applyAlignment="1" applyProtection="1">
      <alignment horizontal="center"/>
      <protection hidden="1"/>
    </xf>
    <xf numFmtId="3" fontId="0" fillId="0" borderId="33" xfId="0" applyNumberFormat="1" applyBorder="1" applyAlignment="1" applyProtection="1">
      <alignment horizontal="center"/>
      <protection hidden="1"/>
    </xf>
    <xf numFmtId="3" fontId="0" fillId="0" borderId="35" xfId="0" applyNumberFormat="1" applyBorder="1" applyAlignment="1" applyProtection="1">
      <alignment horizontal="center"/>
      <protection hidden="1"/>
    </xf>
    <xf numFmtId="3" fontId="7" fillId="0" borderId="36" xfId="0" applyNumberFormat="1" applyFont="1" applyBorder="1" applyAlignment="1" applyProtection="1">
      <alignment horizontal="center"/>
      <protection hidden="1"/>
    </xf>
    <xf numFmtId="3" fontId="4" fillId="0" borderId="26" xfId="0" applyNumberFormat="1" applyFont="1" applyBorder="1" applyAlignment="1" applyProtection="1">
      <alignment horizontal="center"/>
      <protection hidden="1"/>
    </xf>
    <xf numFmtId="3" fontId="7" fillId="0" borderId="37" xfId="0" applyNumberFormat="1" applyFont="1" applyBorder="1" applyAlignment="1" applyProtection="1">
      <alignment horizontal="center"/>
      <protection hidden="1"/>
    </xf>
    <xf numFmtId="3" fontId="0" fillId="0" borderId="38" xfId="0" applyNumberFormat="1" applyBorder="1" applyAlignment="1" applyProtection="1">
      <alignment horizontal="center"/>
      <protection hidden="1"/>
    </xf>
    <xf numFmtId="3" fontId="7" fillId="0" borderId="39" xfId="0" applyNumberFormat="1" applyFont="1" applyBorder="1" applyAlignment="1" applyProtection="1">
      <alignment horizontal="center"/>
      <protection hidden="1"/>
    </xf>
    <xf numFmtId="3" fontId="4" fillId="0" borderId="25" xfId="0" applyNumberFormat="1" applyFont="1" applyBorder="1" applyAlignment="1" applyProtection="1">
      <alignment horizontal="center"/>
      <protection hidden="1"/>
    </xf>
    <xf numFmtId="3" fontId="0" fillId="0" borderId="31" xfId="0" applyNumberFormat="1" applyBorder="1" applyAlignment="1" applyProtection="1">
      <alignment horizontal="center"/>
      <protection hidden="1"/>
    </xf>
    <xf numFmtId="3" fontId="7" fillId="0" borderId="40" xfId="0" applyNumberFormat="1" applyFont="1" applyBorder="1" applyAlignment="1" applyProtection="1">
      <alignment horizontal="center"/>
      <protection hidden="1"/>
    </xf>
    <xf numFmtId="0" fontId="0" fillId="0" borderId="38" xfId="0" applyBorder="1" applyAlignment="1" applyProtection="1">
      <alignment horizontal="left"/>
      <protection hidden="1"/>
    </xf>
    <xf numFmtId="0" fontId="0" fillId="0" borderId="14" xfId="0" applyBorder="1" applyAlignment="1" applyProtection="1">
      <alignment horizontal="left"/>
      <protection hidden="1"/>
    </xf>
    <xf numFmtId="0" fontId="0" fillId="0" borderId="15" xfId="0" applyBorder="1" applyAlignment="1" applyProtection="1">
      <alignment horizontal="left"/>
      <protection hidden="1"/>
    </xf>
    <xf numFmtId="0" fontId="7" fillId="0" borderId="39" xfId="0" applyFont="1" applyBorder="1" applyAlignment="1" applyProtection="1">
      <alignment horizontal="left"/>
      <protection hidden="1"/>
    </xf>
    <xf numFmtId="0" fontId="4" fillId="0" borderId="39" xfId="0" applyFont="1" applyBorder="1" applyProtection="1">
      <protection hidden="1"/>
    </xf>
    <xf numFmtId="3" fontId="0" fillId="0" borderId="44" xfId="0" applyNumberFormat="1" applyBorder="1" applyAlignment="1" applyProtection="1">
      <alignment horizontal="center"/>
      <protection hidden="1"/>
    </xf>
    <xf numFmtId="3" fontId="0" fillId="0" borderId="45" xfId="0" applyNumberFormat="1" applyBorder="1" applyAlignment="1" applyProtection="1">
      <alignment horizontal="center"/>
      <protection hidden="1"/>
    </xf>
    <xf numFmtId="3" fontId="0" fillId="0" borderId="46" xfId="0" applyNumberFormat="1" applyBorder="1" applyAlignment="1" applyProtection="1">
      <alignment horizontal="center"/>
      <protection hidden="1"/>
    </xf>
    <xf numFmtId="3" fontId="0" fillId="0" borderId="47" xfId="0" applyNumberFormat="1" applyBorder="1" applyAlignment="1" applyProtection="1">
      <alignment horizontal="center"/>
      <protection hidden="1"/>
    </xf>
    <xf numFmtId="3" fontId="0" fillId="0" borderId="48" xfId="0" applyNumberFormat="1" applyBorder="1" applyAlignment="1" applyProtection="1">
      <alignment horizontal="center"/>
      <protection hidden="1"/>
    </xf>
    <xf numFmtId="3" fontId="0" fillId="0" borderId="49" xfId="0" applyNumberFormat="1" applyBorder="1" applyAlignment="1" applyProtection="1">
      <alignment horizontal="center"/>
      <protection hidden="1"/>
    </xf>
    <xf numFmtId="3" fontId="0" fillId="0" borderId="50" xfId="0" applyNumberFormat="1" applyBorder="1" applyAlignment="1" applyProtection="1">
      <alignment horizontal="center"/>
      <protection hidden="1"/>
    </xf>
    <xf numFmtId="3" fontId="0" fillId="0" borderId="51" xfId="0" applyNumberFormat="1" applyBorder="1" applyAlignment="1" applyProtection="1">
      <alignment horizontal="center"/>
      <protection hidden="1"/>
    </xf>
    <xf numFmtId="0" fontId="11" fillId="0" borderId="0" xfId="0" applyFont="1"/>
    <xf numFmtId="0" fontId="12" fillId="0" borderId="0" xfId="0" applyFont="1"/>
    <xf numFmtId="3" fontId="12" fillId="0" borderId="53" xfId="0" applyNumberFormat="1" applyFont="1" applyBorder="1" applyAlignment="1">
      <alignment horizontal="center"/>
    </xf>
    <xf numFmtId="3" fontId="0" fillId="0" borderId="0" xfId="0" applyNumberFormat="1" applyAlignment="1">
      <alignment horizontal="center"/>
    </xf>
    <xf numFmtId="3" fontId="12" fillId="0" borderId="0" xfId="0" applyNumberFormat="1" applyFont="1" applyAlignment="1">
      <alignment horizontal="center"/>
    </xf>
    <xf numFmtId="2" fontId="0" fillId="0" borderId="0" xfId="0" applyNumberFormat="1"/>
    <xf numFmtId="0" fontId="11" fillId="0" borderId="0" xfId="12" applyFont="1"/>
    <xf numFmtId="0" fontId="13" fillId="0" borderId="0" xfId="12"/>
    <xf numFmtId="0" fontId="12" fillId="0" borderId="0" xfId="12" applyFont="1"/>
    <xf numFmtId="2" fontId="13" fillId="0" borderId="0" xfId="12" applyNumberFormat="1"/>
    <xf numFmtId="3" fontId="13" fillId="0" borderId="0" xfId="12" applyNumberFormat="1" applyAlignment="1">
      <alignment horizontal="center"/>
    </xf>
    <xf numFmtId="3" fontId="12" fillId="0" borderId="0" xfId="12" applyNumberFormat="1" applyFont="1" applyAlignment="1">
      <alignment horizontal="center"/>
    </xf>
    <xf numFmtId="3" fontId="0" fillId="0" borderId="54" xfId="0" applyNumberFormat="1" applyBorder="1" applyAlignment="1" applyProtection="1">
      <alignment horizontal="center"/>
      <protection hidden="1"/>
    </xf>
    <xf numFmtId="3" fontId="0" fillId="0" borderId="55" xfId="0" applyNumberFormat="1" applyBorder="1" applyAlignment="1" applyProtection="1">
      <alignment horizontal="center"/>
      <protection hidden="1"/>
    </xf>
    <xf numFmtId="3" fontId="0" fillId="0" borderId="56" xfId="0" applyNumberFormat="1" applyBorder="1" applyAlignment="1" applyProtection="1">
      <alignment horizontal="center"/>
      <protection hidden="1"/>
    </xf>
    <xf numFmtId="0" fontId="7" fillId="0" borderId="58" xfId="0" applyFont="1" applyBorder="1" applyAlignment="1">
      <alignment horizontal="left"/>
    </xf>
    <xf numFmtId="3" fontId="7" fillId="0" borderId="59" xfId="0" applyNumberFormat="1" applyFont="1" applyBorder="1" applyAlignment="1">
      <alignment horizontal="center"/>
    </xf>
    <xf numFmtId="3" fontId="7" fillId="0" borderId="36" xfId="0" applyNumberFormat="1" applyFont="1" applyBorder="1" applyAlignment="1">
      <alignment horizontal="center"/>
    </xf>
    <xf numFmtId="3" fontId="7" fillId="0" borderId="60" xfId="0" applyNumberFormat="1" applyFont="1" applyBorder="1" applyAlignment="1">
      <alignment horizontal="center"/>
    </xf>
    <xf numFmtId="3" fontId="7" fillId="0" borderId="39" xfId="0" applyNumberFormat="1" applyFont="1" applyBorder="1" applyAlignment="1">
      <alignment horizontal="center"/>
    </xf>
    <xf numFmtId="0" fontId="4" fillId="2" borderId="39" xfId="0" applyFont="1" applyFill="1" applyBorder="1"/>
    <xf numFmtId="3" fontId="4" fillId="2" borderId="59" xfId="0" applyNumberFormat="1" applyFont="1" applyFill="1" applyBorder="1" applyAlignment="1">
      <alignment horizontal="center"/>
    </xf>
    <xf numFmtId="3" fontId="4" fillId="2" borderId="36" xfId="0" applyNumberFormat="1" applyFont="1" applyFill="1" applyBorder="1" applyAlignment="1">
      <alignment horizontal="center"/>
    </xf>
    <xf numFmtId="3" fontId="4" fillId="2" borderId="39" xfId="0" applyNumberFormat="1" applyFont="1" applyFill="1" applyBorder="1" applyAlignment="1">
      <alignment horizontal="center"/>
    </xf>
    <xf numFmtId="3" fontId="8" fillId="0" borderId="61" xfId="0" applyNumberFormat="1" applyFont="1" applyBorder="1" applyAlignment="1">
      <alignment horizontal="center"/>
    </xf>
    <xf numFmtId="0" fontId="4" fillId="0" borderId="57" xfId="0" applyFont="1" applyBorder="1" applyAlignment="1" applyProtection="1">
      <alignment horizontal="left"/>
      <protection hidden="1"/>
    </xf>
    <xf numFmtId="9" fontId="0" fillId="0" borderId="0" xfId="11" applyFont="1" applyAlignment="1" applyProtection="1">
      <alignment horizontal="center"/>
      <protection hidden="1"/>
    </xf>
    <xf numFmtId="169" fontId="16" fillId="0" borderId="23" xfId="11" applyNumberFormat="1" applyFont="1" applyBorder="1" applyAlignment="1" applyProtection="1">
      <alignment horizontal="center"/>
      <protection hidden="1"/>
    </xf>
    <xf numFmtId="4" fontId="0" fillId="0" borderId="0" xfId="0" applyNumberFormat="1" applyAlignment="1" applyProtection="1">
      <alignment horizontal="center"/>
      <protection hidden="1"/>
    </xf>
    <xf numFmtId="0" fontId="4" fillId="0" borderId="13" xfId="0" applyFont="1" applyBorder="1" applyAlignment="1" applyProtection="1">
      <alignment horizontal="left"/>
      <protection hidden="1"/>
    </xf>
    <xf numFmtId="169" fontId="16" fillId="0" borderId="62" xfId="11" applyNumberFormat="1" applyFont="1" applyBorder="1" applyAlignment="1" applyProtection="1">
      <alignment horizontal="center"/>
      <protection hidden="1"/>
    </xf>
    <xf numFmtId="0" fontId="4" fillId="4" borderId="13" xfId="0" applyFont="1" applyFill="1" applyBorder="1" applyAlignment="1">
      <alignment horizontal="left"/>
    </xf>
    <xf numFmtId="169" fontId="16" fillId="4" borderId="63" xfId="11" applyNumberFormat="1" applyFont="1" applyFill="1" applyBorder="1" applyAlignment="1">
      <alignment horizontal="center"/>
    </xf>
    <xf numFmtId="0" fontId="17" fillId="0" borderId="13" xfId="0" applyFont="1" applyBorder="1" applyAlignment="1" applyProtection="1">
      <alignment horizontal="left"/>
      <protection hidden="1"/>
    </xf>
    <xf numFmtId="3" fontId="0" fillId="0" borderId="65" xfId="0" applyNumberFormat="1" applyBorder="1" applyAlignment="1" applyProtection="1">
      <alignment horizontal="center"/>
      <protection hidden="1"/>
    </xf>
    <xf numFmtId="3" fontId="4" fillId="0" borderId="32" xfId="0" applyNumberFormat="1" applyFont="1" applyBorder="1" applyAlignment="1" applyProtection="1">
      <alignment horizontal="center"/>
      <protection hidden="1"/>
    </xf>
    <xf numFmtId="3" fontId="0" fillId="0" borderId="66" xfId="0" applyNumberFormat="1" applyBorder="1" applyAlignment="1" applyProtection="1">
      <alignment horizontal="center"/>
      <protection hidden="1"/>
    </xf>
    <xf numFmtId="3" fontId="0" fillId="0" borderId="67" xfId="0" applyNumberFormat="1" applyBorder="1" applyAlignment="1" applyProtection="1">
      <alignment horizontal="center"/>
      <protection hidden="1"/>
    </xf>
    <xf numFmtId="3" fontId="0" fillId="0" borderId="68" xfId="0" applyNumberFormat="1" applyBorder="1" applyAlignment="1" applyProtection="1">
      <alignment horizontal="center"/>
      <protection hidden="1"/>
    </xf>
    <xf numFmtId="3" fontId="0" fillId="0" borderId="69" xfId="0" applyNumberFormat="1" applyBorder="1" applyAlignment="1" applyProtection="1">
      <alignment horizontal="center"/>
      <protection hidden="1"/>
    </xf>
    <xf numFmtId="3" fontId="0" fillId="0" borderId="70" xfId="0" applyNumberFormat="1" applyBorder="1" applyAlignment="1" applyProtection="1">
      <alignment horizontal="center"/>
      <protection hidden="1"/>
    </xf>
    <xf numFmtId="3" fontId="0" fillId="0" borderId="71" xfId="0" applyNumberFormat="1" applyBorder="1" applyAlignment="1" applyProtection="1">
      <alignment horizontal="center"/>
      <protection hidden="1"/>
    </xf>
    <xf numFmtId="3" fontId="4" fillId="0" borderId="0" xfId="0" applyNumberFormat="1" applyFont="1" applyAlignment="1" applyProtection="1">
      <alignment horizontal="center"/>
      <protection hidden="1"/>
    </xf>
    <xf numFmtId="0" fontId="0" fillId="0" borderId="72" xfId="0" applyBorder="1" applyAlignment="1" applyProtection="1">
      <alignment horizontal="left"/>
      <protection hidden="1"/>
    </xf>
    <xf numFmtId="0" fontId="0" fillId="0" borderId="73" xfId="0" applyBorder="1" applyAlignment="1" applyProtection="1">
      <alignment horizontal="left"/>
      <protection hidden="1"/>
    </xf>
    <xf numFmtId="3" fontId="0" fillId="0" borderId="75" xfId="0" applyNumberFormat="1" applyBorder="1" applyAlignment="1" applyProtection="1">
      <alignment horizontal="center"/>
      <protection hidden="1"/>
    </xf>
    <xf numFmtId="0" fontId="0" fillId="0" borderId="74" xfId="0" applyBorder="1" applyAlignment="1" applyProtection="1">
      <alignment horizontal="left"/>
      <protection hidden="1"/>
    </xf>
    <xf numFmtId="3" fontId="0" fillId="0" borderId="52" xfId="0" applyNumberFormat="1" applyBorder="1" applyAlignment="1" applyProtection="1">
      <alignment horizontal="center"/>
      <protection hidden="1"/>
    </xf>
    <xf numFmtId="0" fontId="0" fillId="0" borderId="76" xfId="0" applyBorder="1" applyAlignment="1" applyProtection="1">
      <alignment horizontal="left"/>
      <protection hidden="1"/>
    </xf>
    <xf numFmtId="0" fontId="0" fillId="0" borderId="77" xfId="0" applyBorder="1" applyAlignment="1" applyProtection="1">
      <alignment horizontal="left"/>
      <protection hidden="1"/>
    </xf>
    <xf numFmtId="3" fontId="4" fillId="0" borderId="57" xfId="0" applyNumberFormat="1" applyFont="1" applyBorder="1" applyAlignment="1" applyProtection="1">
      <alignment horizontal="center"/>
      <protection hidden="1"/>
    </xf>
    <xf numFmtId="3" fontId="0" fillId="0" borderId="42" xfId="0" applyNumberFormat="1" applyBorder="1" applyAlignment="1" applyProtection="1">
      <alignment horizontal="center"/>
      <protection hidden="1"/>
    </xf>
    <xf numFmtId="3" fontId="0" fillId="0" borderId="43" xfId="0" applyNumberFormat="1" applyBorder="1" applyAlignment="1" applyProtection="1">
      <alignment horizontal="center"/>
      <protection hidden="1"/>
    </xf>
    <xf numFmtId="0" fontId="3" fillId="0" borderId="24" xfId="0" applyFont="1" applyBorder="1" applyAlignment="1" applyProtection="1">
      <alignment horizontal="left"/>
      <protection hidden="1"/>
    </xf>
    <xf numFmtId="3" fontId="6" fillId="0" borderId="71" xfId="0" applyNumberFormat="1" applyFont="1" applyBorder="1" applyAlignment="1" applyProtection="1">
      <alignment horizontal="center"/>
      <protection hidden="1"/>
    </xf>
    <xf numFmtId="3" fontId="13" fillId="0" borderId="61" xfId="0" applyNumberFormat="1" applyFont="1" applyBorder="1" applyAlignment="1">
      <alignment horizontal="center"/>
    </xf>
    <xf numFmtId="3" fontId="3" fillId="0" borderId="27" xfId="0" applyNumberFormat="1" applyFont="1" applyBorder="1" applyAlignment="1" applyProtection="1">
      <alignment horizontal="center"/>
      <protection hidden="1"/>
    </xf>
    <xf numFmtId="3" fontId="3" fillId="0" borderId="4" xfId="0" applyNumberFormat="1" applyFont="1" applyBorder="1" applyAlignment="1" applyProtection="1">
      <alignment horizontal="center"/>
      <protection hidden="1"/>
    </xf>
    <xf numFmtId="3" fontId="3" fillId="0" borderId="41" xfId="0" applyNumberFormat="1" applyFont="1" applyBorder="1" applyAlignment="1" applyProtection="1">
      <alignment horizontal="center"/>
      <protection hidden="1"/>
    </xf>
    <xf numFmtId="3" fontId="3" fillId="0" borderId="16" xfId="0" applyNumberFormat="1" applyFont="1" applyBorder="1" applyAlignment="1" applyProtection="1">
      <alignment horizontal="center"/>
      <protection hidden="1"/>
    </xf>
    <xf numFmtId="3" fontId="3" fillId="0" borderId="6" xfId="0" applyNumberFormat="1" applyFont="1" applyBorder="1" applyAlignment="1" applyProtection="1">
      <alignment horizontal="center"/>
      <protection hidden="1"/>
    </xf>
    <xf numFmtId="3" fontId="3" fillId="0" borderId="7" xfId="0" applyNumberFormat="1" applyFont="1" applyBorder="1" applyAlignment="1" applyProtection="1">
      <alignment horizontal="center"/>
      <protection hidden="1"/>
    </xf>
    <xf numFmtId="3" fontId="3" fillId="0" borderId="17" xfId="0" applyNumberFormat="1" applyFont="1" applyBorder="1" applyAlignment="1" applyProtection="1">
      <alignment horizontal="center"/>
      <protection hidden="1"/>
    </xf>
    <xf numFmtId="3" fontId="3" fillId="0" borderId="8" xfId="0" applyNumberFormat="1" applyFont="1" applyBorder="1" applyAlignment="1" applyProtection="1">
      <alignment horizontal="center"/>
      <protection hidden="1"/>
    </xf>
    <xf numFmtId="3" fontId="3" fillId="0" borderId="9" xfId="0" applyNumberFormat="1" applyFont="1" applyBorder="1" applyAlignment="1" applyProtection="1">
      <alignment horizontal="center"/>
      <protection hidden="1"/>
    </xf>
    <xf numFmtId="3" fontId="12" fillId="0" borderId="39" xfId="0" applyNumberFormat="1" applyFont="1" applyBorder="1" applyAlignment="1">
      <alignment horizontal="center"/>
    </xf>
    <xf numFmtId="3" fontId="12" fillId="0" borderId="79" xfId="0" applyNumberFormat="1" applyFont="1" applyBorder="1" applyAlignment="1">
      <alignment horizontal="center"/>
    </xf>
    <xf numFmtId="3" fontId="12" fillId="0" borderId="80" xfId="0" applyNumberFormat="1" applyFont="1" applyBorder="1" applyAlignment="1">
      <alignment horizontal="center"/>
    </xf>
    <xf numFmtId="3" fontId="12" fillId="0" borderId="13" xfId="0" applyNumberFormat="1" applyFont="1" applyBorder="1" applyAlignment="1">
      <alignment horizontal="center"/>
    </xf>
    <xf numFmtId="0" fontId="0" fillId="0" borderId="13" xfId="0" applyBorder="1"/>
    <xf numFmtId="3" fontId="12" fillId="0" borderId="81" xfId="0" applyNumberFormat="1" applyFont="1" applyBorder="1" applyAlignment="1">
      <alignment horizontal="center"/>
    </xf>
    <xf numFmtId="3" fontId="13" fillId="0" borderId="53" xfId="12" applyNumberFormat="1" applyBorder="1" applyAlignment="1">
      <alignment horizontal="center"/>
    </xf>
    <xf numFmtId="0" fontId="13" fillId="0" borderId="57" xfId="12" applyBorder="1"/>
    <xf numFmtId="3" fontId="12" fillId="0" borderId="57" xfId="12" applyNumberFormat="1" applyFont="1" applyBorder="1" applyAlignment="1">
      <alignment horizontal="center"/>
    </xf>
    <xf numFmtId="0" fontId="12" fillId="0" borderId="13" xfId="12" applyFont="1" applyBorder="1"/>
    <xf numFmtId="3" fontId="12" fillId="0" borderId="78" xfId="12" applyNumberFormat="1" applyFont="1" applyBorder="1" applyAlignment="1">
      <alignment horizontal="center"/>
    </xf>
    <xf numFmtId="3" fontId="12" fillId="0" borderId="79" xfId="12" applyNumberFormat="1" applyFont="1" applyBorder="1" applyAlignment="1">
      <alignment horizontal="center"/>
    </xf>
    <xf numFmtId="3" fontId="12" fillId="0" borderId="13" xfId="12" applyNumberFormat="1" applyFont="1" applyBorder="1" applyAlignment="1">
      <alignment horizontal="center"/>
    </xf>
    <xf numFmtId="169" fontId="17" fillId="0" borderId="10" xfId="11" applyNumberFormat="1" applyFont="1" applyFill="1" applyBorder="1" applyAlignment="1" applyProtection="1">
      <alignment horizontal="center"/>
      <protection hidden="1"/>
    </xf>
    <xf numFmtId="169" fontId="17" fillId="0" borderId="11" xfId="11" applyNumberFormat="1" applyFont="1" applyFill="1" applyBorder="1" applyAlignment="1" applyProtection="1">
      <alignment horizontal="center"/>
      <protection hidden="1"/>
    </xf>
    <xf numFmtId="3" fontId="4" fillId="0" borderId="27" xfId="0" applyNumberFormat="1" applyFont="1" applyBorder="1" applyAlignment="1" applyProtection="1">
      <alignment horizontal="center"/>
      <protection hidden="1"/>
    </xf>
    <xf numFmtId="3" fontId="4" fillId="0" borderId="28" xfId="0" applyNumberFormat="1" applyFont="1" applyBorder="1" applyAlignment="1" applyProtection="1">
      <alignment horizontal="center"/>
      <protection hidden="1"/>
    </xf>
    <xf numFmtId="3" fontId="4" fillId="0" borderId="29" xfId="0" applyNumberFormat="1" applyFont="1" applyBorder="1" applyAlignment="1" applyProtection="1">
      <alignment horizontal="center"/>
      <protection hidden="1"/>
    </xf>
    <xf numFmtId="3" fontId="3" fillId="0" borderId="1" xfId="0" applyNumberFormat="1" applyFont="1" applyBorder="1" applyAlignment="1" applyProtection="1">
      <alignment horizontal="center"/>
      <protection hidden="1"/>
    </xf>
    <xf numFmtId="3" fontId="3" fillId="0" borderId="2" xfId="0" applyNumberFormat="1" applyFont="1" applyBorder="1" applyAlignment="1" applyProtection="1">
      <alignment horizontal="center"/>
      <protection hidden="1"/>
    </xf>
    <xf numFmtId="3" fontId="3" fillId="0" borderId="3" xfId="0" applyNumberFormat="1" applyFont="1" applyBorder="1" applyAlignment="1" applyProtection="1">
      <alignment horizontal="center"/>
      <protection hidden="1"/>
    </xf>
    <xf numFmtId="0" fontId="10" fillId="3" borderId="82" xfId="0" applyFont="1" applyFill="1" applyBorder="1"/>
    <xf numFmtId="0" fontId="0" fillId="0" borderId="83" xfId="0" applyBorder="1" applyAlignment="1">
      <alignment horizontal="left"/>
    </xf>
    <xf numFmtId="0" fontId="0" fillId="0" borderId="84" xfId="0" applyBorder="1" applyAlignment="1">
      <alignment horizontal="left"/>
    </xf>
    <xf numFmtId="3" fontId="10" fillId="3" borderId="82" xfId="0" applyNumberFormat="1" applyFont="1" applyFill="1" applyBorder="1" applyAlignment="1" applyProtection="1">
      <alignment horizontal="center"/>
      <protection hidden="1"/>
    </xf>
    <xf numFmtId="3" fontId="13" fillId="0" borderId="85" xfId="0" applyNumberFormat="1" applyFont="1" applyBorder="1" applyAlignment="1" applyProtection="1">
      <alignment horizontal="center"/>
      <protection hidden="1"/>
    </xf>
    <xf numFmtId="3" fontId="13" fillId="0" borderId="83" xfId="0" applyNumberFormat="1" applyFont="1" applyBorder="1" applyAlignment="1" applyProtection="1">
      <alignment horizontal="center"/>
      <protection hidden="1"/>
    </xf>
    <xf numFmtId="3" fontId="13" fillId="0" borderId="84" xfId="0" applyNumberFormat="1" applyFont="1" applyBorder="1" applyAlignment="1" applyProtection="1">
      <alignment horizontal="center"/>
      <protection hidden="1"/>
    </xf>
    <xf numFmtId="3" fontId="10" fillId="3" borderId="87" xfId="0" applyNumberFormat="1" applyFont="1" applyFill="1" applyBorder="1" applyAlignment="1">
      <alignment horizontal="center"/>
    </xf>
    <xf numFmtId="3" fontId="10" fillId="3" borderId="88" xfId="0" applyNumberFormat="1" applyFont="1" applyFill="1" applyBorder="1" applyAlignment="1">
      <alignment horizontal="center"/>
    </xf>
    <xf numFmtId="3" fontId="10" fillId="3" borderId="89" xfId="0" applyNumberFormat="1" applyFont="1" applyFill="1" applyBorder="1" applyAlignment="1">
      <alignment horizontal="center"/>
    </xf>
    <xf numFmtId="3" fontId="4" fillId="0" borderId="90" xfId="0" applyNumberFormat="1" applyFont="1" applyBorder="1" applyAlignment="1">
      <alignment horizontal="center"/>
    </xf>
    <xf numFmtId="3" fontId="4" fillId="0" borderId="91" xfId="0" applyNumberFormat="1" applyFont="1" applyBorder="1" applyAlignment="1">
      <alignment horizontal="center"/>
    </xf>
    <xf numFmtId="3" fontId="13" fillId="0" borderId="92" xfId="0" applyNumberFormat="1" applyFont="1" applyBorder="1" applyAlignment="1">
      <alignment horizontal="center"/>
    </xf>
    <xf numFmtId="3" fontId="13" fillId="0" borderId="93" xfId="0" applyNumberFormat="1" applyFont="1" applyBorder="1" applyAlignment="1">
      <alignment horizontal="center"/>
    </xf>
    <xf numFmtId="3" fontId="8" fillId="0" borderId="93" xfId="0" applyNumberFormat="1" applyFont="1" applyBorder="1" applyAlignment="1">
      <alignment horizontal="center"/>
    </xf>
    <xf numFmtId="3" fontId="8" fillId="0" borderId="94" xfId="0" applyNumberFormat="1" applyFont="1" applyBorder="1" applyAlignment="1">
      <alignment horizontal="center"/>
    </xf>
    <xf numFmtId="3" fontId="13" fillId="0" borderId="95" xfId="0" applyNumberFormat="1" applyFont="1" applyBorder="1" applyAlignment="1">
      <alignment horizontal="center"/>
    </xf>
    <xf numFmtId="3" fontId="8" fillId="0" borderId="96" xfId="0" applyNumberFormat="1" applyFont="1" applyBorder="1" applyAlignment="1">
      <alignment horizontal="center"/>
    </xf>
    <xf numFmtId="3" fontId="13" fillId="0" borderId="97" xfId="0" applyNumberFormat="1" applyFont="1" applyBorder="1" applyAlignment="1">
      <alignment horizontal="center"/>
    </xf>
    <xf numFmtId="3" fontId="13" fillId="0" borderId="98" xfId="0" applyNumberFormat="1" applyFont="1" applyBorder="1" applyAlignment="1">
      <alignment horizontal="center"/>
    </xf>
    <xf numFmtId="3" fontId="8" fillId="0" borderId="98" xfId="0" applyNumberFormat="1" applyFont="1" applyBorder="1" applyAlignment="1">
      <alignment horizontal="center"/>
    </xf>
    <xf numFmtId="3" fontId="8" fillId="0" borderId="99" xfId="0" applyNumberFormat="1" applyFont="1" applyBorder="1" applyAlignment="1">
      <alignment horizontal="center"/>
    </xf>
    <xf numFmtId="3" fontId="4" fillId="0" borderId="86" xfId="0" applyNumberFormat="1" applyFont="1" applyBorder="1" applyAlignment="1">
      <alignment horizontal="center"/>
    </xf>
    <xf numFmtId="3" fontId="10" fillId="3" borderId="13" xfId="0" applyNumberFormat="1" applyFont="1" applyFill="1" applyBorder="1" applyAlignment="1">
      <alignment horizontal="center"/>
    </xf>
    <xf numFmtId="0" fontId="12" fillId="0" borderId="39" xfId="0" applyFont="1" applyBorder="1"/>
    <xf numFmtId="3" fontId="12" fillId="0" borderId="100" xfId="0" applyNumberFormat="1" applyFont="1" applyBorder="1" applyAlignment="1">
      <alignment horizontal="center"/>
    </xf>
    <xf numFmtId="3" fontId="12" fillId="0" borderId="101" xfId="0" applyNumberFormat="1" applyFont="1" applyBorder="1" applyAlignment="1">
      <alignment horizontal="center"/>
    </xf>
    <xf numFmtId="3" fontId="13" fillId="0" borderId="4" xfId="0" applyNumberFormat="1" applyFon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13" fillId="0" borderId="6" xfId="0" applyNumberFormat="1" applyFon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3" fontId="13" fillId="0" borderId="8" xfId="0" applyNumberFormat="1" applyFon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3" fontId="0" fillId="0" borderId="75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3" fontId="0" fillId="0" borderId="65" xfId="0" applyNumberFormat="1" applyBorder="1" applyAlignment="1">
      <alignment horizontal="center"/>
    </xf>
    <xf numFmtId="0" fontId="0" fillId="0" borderId="75" xfId="0" applyBorder="1" applyAlignment="1">
      <alignment horizontal="left"/>
    </xf>
    <xf numFmtId="0" fontId="0" fillId="0" borderId="14" xfId="0" applyBorder="1" applyAlignment="1">
      <alignment horizontal="left"/>
    </xf>
    <xf numFmtId="0" fontId="13" fillId="0" borderId="14" xfId="0" applyFont="1" applyBorder="1" applyAlignment="1">
      <alignment horizontal="left"/>
    </xf>
    <xf numFmtId="0" fontId="0" fillId="0" borderId="65" xfId="0" applyBorder="1" applyAlignment="1">
      <alignment horizontal="left"/>
    </xf>
    <xf numFmtId="3" fontId="13" fillId="0" borderId="102" xfId="0" applyNumberFormat="1" applyFon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3" fontId="13" fillId="0" borderId="16" xfId="0" applyNumberFormat="1" applyFon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3" fontId="13" fillId="0" borderId="17" xfId="0" applyNumberFormat="1" applyFon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3" fontId="12" fillId="0" borderId="75" xfId="0" applyNumberFormat="1" applyFont="1" applyBorder="1" applyAlignment="1">
      <alignment horizontal="center"/>
    </xf>
    <xf numFmtId="3" fontId="12" fillId="0" borderId="14" xfId="0" applyNumberFormat="1" applyFont="1" applyBorder="1" applyAlignment="1">
      <alignment horizontal="center"/>
    </xf>
    <xf numFmtId="3" fontId="12" fillId="0" borderId="65" xfId="0" applyNumberFormat="1" applyFont="1" applyBorder="1" applyAlignment="1">
      <alignment horizontal="center"/>
    </xf>
    <xf numFmtId="3" fontId="12" fillId="0" borderId="105" xfId="12" applyNumberFormat="1" applyFont="1" applyBorder="1" applyAlignment="1">
      <alignment horizontal="center"/>
    </xf>
    <xf numFmtId="3" fontId="12" fillId="0" borderId="106" xfId="12" applyNumberFormat="1" applyFont="1" applyBorder="1" applyAlignment="1">
      <alignment horizontal="center"/>
    </xf>
    <xf numFmtId="3" fontId="13" fillId="0" borderId="4" xfId="12" applyNumberFormat="1" applyBorder="1" applyAlignment="1">
      <alignment horizontal="center"/>
    </xf>
    <xf numFmtId="3" fontId="12" fillId="0" borderId="5" xfId="12" applyNumberFormat="1" applyFont="1" applyBorder="1" applyAlignment="1">
      <alignment horizontal="center"/>
    </xf>
    <xf numFmtId="3" fontId="13" fillId="0" borderId="6" xfId="12" applyNumberFormat="1" applyBorder="1" applyAlignment="1">
      <alignment horizontal="center"/>
    </xf>
    <xf numFmtId="3" fontId="12" fillId="0" borderId="7" xfId="12" applyNumberFormat="1" applyFont="1" applyBorder="1" applyAlignment="1">
      <alignment horizontal="center"/>
    </xf>
    <xf numFmtId="3" fontId="13" fillId="0" borderId="8" xfId="12" applyNumberFormat="1" applyBorder="1" applyAlignment="1">
      <alignment horizontal="center"/>
    </xf>
    <xf numFmtId="3" fontId="12" fillId="0" borderId="9" xfId="12" applyNumberFormat="1" applyFont="1" applyBorder="1" applyAlignment="1">
      <alignment horizontal="center"/>
    </xf>
    <xf numFmtId="3" fontId="12" fillId="0" borderId="30" xfId="12" applyNumberFormat="1" applyFont="1" applyBorder="1" applyAlignment="1">
      <alignment horizontal="center"/>
    </xf>
    <xf numFmtId="3" fontId="13" fillId="0" borderId="27" xfId="12" applyNumberFormat="1" applyBorder="1" applyAlignment="1">
      <alignment horizontal="center"/>
    </xf>
    <xf numFmtId="3" fontId="13" fillId="0" borderId="28" xfId="12" applyNumberFormat="1" applyBorder="1" applyAlignment="1">
      <alignment horizontal="center"/>
    </xf>
    <xf numFmtId="3" fontId="13" fillId="0" borderId="107" xfId="12" applyNumberFormat="1" applyBorder="1" applyAlignment="1">
      <alignment horizontal="center"/>
    </xf>
    <xf numFmtId="3" fontId="12" fillId="0" borderId="108" xfId="12" applyNumberFormat="1" applyFont="1" applyBorder="1" applyAlignment="1">
      <alignment horizontal="center"/>
    </xf>
    <xf numFmtId="3" fontId="13" fillId="0" borderId="41" xfId="12" applyNumberFormat="1" applyBorder="1" applyAlignment="1">
      <alignment horizontal="center"/>
    </xf>
    <xf numFmtId="3" fontId="13" fillId="0" borderId="103" xfId="12" applyNumberFormat="1" applyBorder="1" applyAlignment="1">
      <alignment horizontal="center"/>
    </xf>
    <xf numFmtId="3" fontId="13" fillId="0" borderId="104" xfId="12" applyNumberFormat="1" applyBorder="1" applyAlignment="1">
      <alignment horizontal="center"/>
    </xf>
    <xf numFmtId="0" fontId="13" fillId="0" borderId="75" xfId="12" applyBorder="1" applyAlignment="1">
      <alignment horizontal="left"/>
    </xf>
    <xf numFmtId="0" fontId="13" fillId="0" borderId="14" xfId="12" applyBorder="1" applyAlignment="1">
      <alignment horizontal="left"/>
    </xf>
    <xf numFmtId="0" fontId="13" fillId="0" borderId="65" xfId="12" applyBorder="1" applyAlignment="1">
      <alignment horizontal="left"/>
    </xf>
    <xf numFmtId="0" fontId="4" fillId="0" borderId="0" xfId="0" applyFont="1"/>
    <xf numFmtId="3" fontId="0" fillId="0" borderId="110" xfId="0" applyNumberFormat="1" applyBorder="1" applyAlignment="1" applyProtection="1">
      <alignment horizontal="center"/>
      <protection hidden="1"/>
    </xf>
    <xf numFmtId="3" fontId="0" fillId="0" borderId="111" xfId="0" applyNumberFormat="1" applyBorder="1" applyAlignment="1" applyProtection="1">
      <alignment horizontal="center"/>
      <protection hidden="1"/>
    </xf>
    <xf numFmtId="3" fontId="18" fillId="0" borderId="112" xfId="0" applyNumberFormat="1" applyFont="1" applyBorder="1" applyAlignment="1">
      <alignment horizontal="center"/>
    </xf>
    <xf numFmtId="3" fontId="18" fillId="0" borderId="109" xfId="0" applyNumberFormat="1" applyFont="1" applyBorder="1" applyAlignment="1">
      <alignment horizontal="center"/>
    </xf>
    <xf numFmtId="3" fontId="10" fillId="5" borderId="25" xfId="0" applyNumberFormat="1" applyFont="1" applyFill="1" applyBorder="1" applyAlignment="1">
      <alignment horizontal="center"/>
    </xf>
    <xf numFmtId="3" fontId="10" fillId="5" borderId="11" xfId="0" applyNumberFormat="1" applyFont="1" applyFill="1" applyBorder="1" applyAlignment="1">
      <alignment horizontal="center"/>
    </xf>
    <xf numFmtId="3" fontId="0" fillId="0" borderId="113" xfId="0" applyNumberFormat="1" applyBorder="1" applyAlignment="1">
      <alignment horizontal="center"/>
    </xf>
    <xf numFmtId="3" fontId="13" fillId="0" borderId="113" xfId="12" applyNumberFormat="1" applyBorder="1" applyAlignment="1">
      <alignment horizontal="center"/>
    </xf>
    <xf numFmtId="3" fontId="0" fillId="0" borderId="16" xfId="0" applyNumberFormat="1" applyBorder="1" applyAlignment="1" applyProtection="1">
      <alignment horizontal="center"/>
      <protection hidden="1"/>
    </xf>
    <xf numFmtId="3" fontId="0" fillId="0" borderId="114" xfId="0" applyNumberFormat="1" applyBorder="1" applyAlignment="1">
      <alignment horizontal="center"/>
    </xf>
    <xf numFmtId="3" fontId="0" fillId="0" borderId="115" xfId="0" applyNumberFormat="1" applyBorder="1" applyAlignment="1">
      <alignment horizontal="center"/>
    </xf>
    <xf numFmtId="3" fontId="0" fillId="0" borderId="115" xfId="7" applyNumberFormat="1" applyFont="1" applyBorder="1" applyAlignment="1">
      <alignment horizontal="center"/>
    </xf>
    <xf numFmtId="3" fontId="0" fillId="0" borderId="116" xfId="0" applyNumberFormat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3" fontId="0" fillId="0" borderId="6" xfId="7" applyNumberFormat="1" applyFont="1" applyBorder="1" applyAlignment="1">
      <alignment horizontal="center"/>
    </xf>
    <xf numFmtId="3" fontId="10" fillId="5" borderId="26" xfId="0" applyNumberFormat="1" applyFont="1" applyFill="1" applyBorder="1" applyAlignment="1">
      <alignment horizontal="center"/>
    </xf>
    <xf numFmtId="3" fontId="18" fillId="0" borderId="0" xfId="0" applyNumberFormat="1" applyFont="1" applyAlignment="1">
      <alignment horizontal="center"/>
    </xf>
    <xf numFmtId="3" fontId="0" fillId="0" borderId="112" xfId="0" applyNumberFormat="1" applyBorder="1" applyAlignment="1">
      <alignment horizontal="center"/>
    </xf>
    <xf numFmtId="3" fontId="0" fillId="0" borderId="109" xfId="0" applyNumberFormat="1" applyBorder="1" applyAlignment="1">
      <alignment horizontal="center"/>
    </xf>
    <xf numFmtId="3" fontId="0" fillId="0" borderId="110" xfId="0" applyNumberFormat="1" applyBorder="1" applyAlignment="1">
      <alignment horizontal="center"/>
    </xf>
    <xf numFmtId="3" fontId="0" fillId="0" borderId="111" xfId="0" applyNumberFormat="1" applyBorder="1" applyAlignment="1">
      <alignment horizontal="center"/>
    </xf>
    <xf numFmtId="3" fontId="10" fillId="5" borderId="22" xfId="0" applyNumberFormat="1" applyFont="1" applyFill="1" applyBorder="1" applyAlignment="1">
      <alignment horizontal="center"/>
    </xf>
    <xf numFmtId="10" fontId="7" fillId="4" borderId="64" xfId="11" applyNumberFormat="1" applyFont="1" applyFill="1" applyBorder="1" applyAlignment="1">
      <alignment horizontal="center"/>
    </xf>
    <xf numFmtId="10" fontId="17" fillId="0" borderId="11" xfId="11" applyNumberFormat="1" applyFont="1" applyFill="1" applyBorder="1" applyAlignment="1" applyProtection="1">
      <alignment horizontal="center"/>
      <protection hidden="1"/>
    </xf>
    <xf numFmtId="3" fontId="4" fillId="0" borderId="38" xfId="0" applyNumberFormat="1" applyFont="1" applyBorder="1" applyAlignment="1" applyProtection="1">
      <alignment horizontal="center"/>
      <protection hidden="1"/>
    </xf>
    <xf numFmtId="3" fontId="4" fillId="0" borderId="14" xfId="0" applyNumberFormat="1" applyFont="1" applyBorder="1" applyAlignment="1" applyProtection="1">
      <alignment horizontal="center"/>
      <protection hidden="1"/>
    </xf>
    <xf numFmtId="3" fontId="4" fillId="0" borderId="15" xfId="0" applyNumberFormat="1" applyFont="1" applyBorder="1" applyAlignment="1" applyProtection="1">
      <alignment horizontal="center"/>
      <protection hidden="1"/>
    </xf>
    <xf numFmtId="3" fontId="16" fillId="0" borderId="38" xfId="0" applyNumberFormat="1" applyFont="1" applyBorder="1" applyAlignment="1" applyProtection="1">
      <alignment horizontal="center"/>
      <protection hidden="1"/>
    </xf>
    <xf numFmtId="3" fontId="16" fillId="0" borderId="14" xfId="0" applyNumberFormat="1" applyFont="1" applyBorder="1" applyAlignment="1" applyProtection="1">
      <alignment horizontal="center"/>
      <protection hidden="1"/>
    </xf>
    <xf numFmtId="3" fontId="16" fillId="0" borderId="15" xfId="0" applyNumberFormat="1" applyFont="1" applyBorder="1" applyAlignment="1" applyProtection="1">
      <alignment horizontal="center"/>
      <protection hidden="1"/>
    </xf>
    <xf numFmtId="3" fontId="4" fillId="0" borderId="0" xfId="0" applyNumberFormat="1" applyFont="1" applyProtection="1">
      <protection hidden="1"/>
    </xf>
    <xf numFmtId="3" fontId="0" fillId="0" borderId="112" xfId="0" applyNumberFormat="1" applyBorder="1" applyAlignment="1" applyProtection="1">
      <alignment horizontal="center"/>
      <protection hidden="1"/>
    </xf>
    <xf numFmtId="3" fontId="0" fillId="0" borderId="109" xfId="0" applyNumberFormat="1" applyBorder="1" applyAlignment="1" applyProtection="1">
      <alignment horizontal="center"/>
      <protection hidden="1"/>
    </xf>
    <xf numFmtId="3" fontId="18" fillId="0" borderId="112" xfId="0" applyNumberFormat="1" applyFont="1" applyBorder="1" applyAlignment="1" applyProtection="1">
      <alignment horizontal="center"/>
      <protection hidden="1"/>
    </xf>
    <xf numFmtId="3" fontId="18" fillId="0" borderId="109" xfId="0" applyNumberFormat="1" applyFont="1" applyBorder="1" applyAlignment="1" applyProtection="1">
      <alignment horizontal="center"/>
      <protection hidden="1"/>
    </xf>
    <xf numFmtId="10" fontId="4" fillId="0" borderId="0" xfId="11" applyNumberFormat="1" applyFont="1" applyAlignment="1">
      <alignment horizontal="center"/>
    </xf>
    <xf numFmtId="3" fontId="4" fillId="0" borderId="117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3" fontId="16" fillId="0" borderId="109" xfId="0" applyNumberFormat="1" applyFont="1" applyBorder="1" applyAlignment="1">
      <alignment horizontal="center"/>
    </xf>
    <xf numFmtId="3" fontId="4" fillId="0" borderId="109" xfId="0" applyNumberFormat="1" applyFont="1" applyBorder="1" applyAlignment="1" applyProtection="1">
      <alignment horizontal="center"/>
      <protection hidden="1"/>
    </xf>
    <xf numFmtId="3" fontId="4" fillId="0" borderId="111" xfId="0" applyNumberFormat="1" applyFont="1" applyBorder="1" applyAlignment="1" applyProtection="1">
      <alignment horizontal="center"/>
      <protection hidden="1"/>
    </xf>
    <xf numFmtId="3" fontId="4" fillId="0" borderId="109" xfId="0" applyNumberFormat="1" applyFont="1" applyBorder="1" applyAlignment="1">
      <alignment horizontal="center"/>
    </xf>
    <xf numFmtId="3" fontId="4" fillId="0" borderId="111" xfId="0" applyNumberFormat="1" applyFont="1" applyBorder="1" applyAlignment="1">
      <alignment horizontal="center"/>
    </xf>
    <xf numFmtId="3" fontId="16" fillId="0" borderId="109" xfId="0" applyNumberFormat="1" applyFont="1" applyBorder="1" applyAlignment="1" applyProtection="1">
      <alignment horizontal="center"/>
      <protection hidden="1"/>
    </xf>
    <xf numFmtId="0" fontId="19" fillId="0" borderId="0" xfId="0" applyFont="1" applyAlignment="1">
      <alignment horizontal="right"/>
    </xf>
    <xf numFmtId="169" fontId="16" fillId="0" borderId="18" xfId="11" applyNumberFormat="1" applyFont="1" applyBorder="1" applyAlignment="1" applyProtection="1">
      <alignment horizontal="center"/>
      <protection hidden="1"/>
    </xf>
    <xf numFmtId="169" fontId="16" fillId="0" borderId="19" xfId="11" applyNumberFormat="1" applyFont="1" applyBorder="1" applyAlignment="1" applyProtection="1">
      <alignment horizontal="center"/>
      <protection hidden="1"/>
    </xf>
    <xf numFmtId="3" fontId="18" fillId="0" borderId="8" xfId="0" applyNumberFormat="1" applyFont="1" applyBorder="1" applyAlignment="1" applyProtection="1">
      <alignment horizontal="center"/>
      <protection hidden="1"/>
    </xf>
    <xf numFmtId="0" fontId="16" fillId="0" borderId="20" xfId="0" applyFont="1" applyBorder="1" applyAlignment="1">
      <alignment horizontal="left"/>
    </xf>
    <xf numFmtId="3" fontId="16" fillId="0" borderId="10" xfId="0" applyNumberFormat="1" applyFont="1" applyBorder="1" applyAlignment="1">
      <alignment horizontal="center"/>
    </xf>
    <xf numFmtId="3" fontId="16" fillId="0" borderId="11" xfId="0" applyNumberFormat="1" applyFont="1" applyBorder="1" applyAlignment="1">
      <alignment horizontal="center"/>
    </xf>
    <xf numFmtId="3" fontId="16" fillId="0" borderId="12" xfId="0" applyNumberFormat="1" applyFont="1" applyBorder="1" applyAlignment="1">
      <alignment horizontal="center"/>
    </xf>
    <xf numFmtId="3" fontId="16" fillId="0" borderId="13" xfId="0" applyNumberFormat="1" applyFont="1" applyBorder="1" applyAlignment="1">
      <alignment horizontal="center"/>
    </xf>
    <xf numFmtId="3" fontId="0" fillId="0" borderId="10" xfId="0" applyNumberFormat="1" applyBorder="1" applyAlignment="1" applyProtection="1">
      <alignment horizontal="center"/>
      <protection hidden="1"/>
    </xf>
    <xf numFmtId="3" fontId="0" fillId="0" borderId="11" xfId="0" applyNumberFormat="1" applyBorder="1" applyAlignment="1" applyProtection="1">
      <alignment horizontal="center"/>
      <protection hidden="1"/>
    </xf>
    <xf numFmtId="3" fontId="0" fillId="0" borderId="13" xfId="0" applyNumberFormat="1" applyBorder="1" applyAlignment="1">
      <alignment horizontal="center"/>
    </xf>
    <xf numFmtId="3" fontId="4" fillId="0" borderId="48" xfId="0" applyNumberFormat="1" applyFont="1" applyBorder="1" applyAlignment="1" applyProtection="1">
      <alignment horizontal="center"/>
      <protection hidden="1"/>
    </xf>
    <xf numFmtId="3" fontId="4" fillId="0" borderId="51" xfId="0" applyNumberFormat="1" applyFont="1" applyBorder="1" applyAlignment="1" applyProtection="1">
      <alignment horizontal="center"/>
      <protection hidden="1"/>
    </xf>
    <xf numFmtId="3" fontId="0" fillId="0" borderId="121" xfId="0" applyNumberFormat="1" applyBorder="1" applyAlignment="1" applyProtection="1">
      <alignment horizontal="center"/>
      <protection hidden="1"/>
    </xf>
    <xf numFmtId="0" fontId="0" fillId="0" borderId="122" xfId="0" applyBorder="1" applyAlignment="1" applyProtection="1">
      <alignment horizontal="left"/>
      <protection hidden="1"/>
    </xf>
    <xf numFmtId="3" fontId="0" fillId="0" borderId="123" xfId="0" applyNumberFormat="1" applyBorder="1" applyAlignment="1" applyProtection="1">
      <alignment horizontal="center"/>
      <protection hidden="1"/>
    </xf>
    <xf numFmtId="3" fontId="0" fillId="0" borderId="124" xfId="0" applyNumberFormat="1" applyBorder="1" applyAlignment="1" applyProtection="1">
      <alignment horizontal="center"/>
      <protection hidden="1"/>
    </xf>
    <xf numFmtId="3" fontId="4" fillId="0" borderId="118" xfId="0" applyNumberFormat="1" applyFont="1" applyBorder="1" applyAlignment="1" applyProtection="1">
      <alignment horizontal="center"/>
      <protection hidden="1"/>
    </xf>
    <xf numFmtId="3" fontId="4" fillId="0" borderId="127" xfId="0" applyNumberFormat="1" applyFont="1" applyBorder="1" applyAlignment="1" applyProtection="1">
      <alignment horizontal="center"/>
      <protection hidden="1"/>
    </xf>
    <xf numFmtId="0" fontId="4" fillId="0" borderId="128" xfId="0" applyFont="1" applyBorder="1" applyProtection="1">
      <protection hidden="1"/>
    </xf>
    <xf numFmtId="3" fontId="4" fillId="0" borderId="129" xfId="0" applyNumberFormat="1" applyFont="1" applyBorder="1" applyAlignment="1" applyProtection="1">
      <alignment horizontal="center"/>
      <protection hidden="1"/>
    </xf>
    <xf numFmtId="3" fontId="4" fillId="0" borderId="130" xfId="0" applyNumberFormat="1" applyFont="1" applyBorder="1" applyAlignment="1" applyProtection="1">
      <alignment horizontal="center"/>
      <protection hidden="1"/>
    </xf>
    <xf numFmtId="3" fontId="0" fillId="0" borderId="101" xfId="0" applyNumberFormat="1" applyBorder="1" applyAlignment="1" applyProtection="1">
      <alignment horizontal="center"/>
      <protection hidden="1"/>
    </xf>
    <xf numFmtId="0" fontId="0" fillId="0" borderId="125" xfId="0" applyBorder="1" applyAlignment="1" applyProtection="1">
      <alignment horizontal="left"/>
      <protection hidden="1"/>
    </xf>
    <xf numFmtId="3" fontId="0" fillId="0" borderId="126" xfId="0" applyNumberFormat="1" applyBorder="1" applyAlignment="1" applyProtection="1">
      <alignment horizontal="center"/>
      <protection hidden="1"/>
    </xf>
    <xf numFmtId="0" fontId="4" fillId="0" borderId="120" xfId="0" applyFont="1" applyBorder="1" applyAlignment="1" applyProtection="1">
      <alignment horizontal="left"/>
      <protection hidden="1"/>
    </xf>
    <xf numFmtId="3" fontId="0" fillId="0" borderId="131" xfId="0" applyNumberFormat="1" applyBorder="1" applyAlignment="1" applyProtection="1">
      <alignment horizontal="center"/>
      <protection hidden="1"/>
    </xf>
    <xf numFmtId="3" fontId="0" fillId="0" borderId="132" xfId="0" applyNumberFormat="1" applyBorder="1" applyAlignment="1" applyProtection="1">
      <alignment horizontal="center"/>
      <protection hidden="1"/>
    </xf>
    <xf numFmtId="3" fontId="4" fillId="0" borderId="133" xfId="0" applyNumberFormat="1" applyFont="1" applyBorder="1" applyAlignment="1" applyProtection="1">
      <alignment horizontal="center"/>
      <protection hidden="1"/>
    </xf>
    <xf numFmtId="3" fontId="0" fillId="0" borderId="125" xfId="0" applyNumberFormat="1" applyBorder="1" applyAlignment="1" applyProtection="1">
      <alignment horizontal="center"/>
      <protection hidden="1"/>
    </xf>
    <xf numFmtId="3" fontId="4" fillId="0" borderId="120" xfId="0" applyNumberFormat="1" applyFont="1" applyBorder="1" applyAlignment="1" applyProtection="1">
      <alignment horizontal="center"/>
      <protection hidden="1"/>
    </xf>
    <xf numFmtId="3" fontId="7" fillId="0" borderId="119" xfId="0" applyNumberFormat="1" applyFont="1" applyBorder="1" applyAlignment="1" applyProtection="1">
      <alignment horizontal="center"/>
      <protection hidden="1"/>
    </xf>
    <xf numFmtId="3" fontId="4" fillId="0" borderId="128" xfId="0" applyNumberFormat="1" applyFont="1" applyBorder="1" applyAlignment="1" applyProtection="1">
      <alignment horizontal="center"/>
      <protection hidden="1"/>
    </xf>
    <xf numFmtId="3" fontId="7" fillId="0" borderId="134" xfId="0" applyNumberFormat="1" applyFont="1" applyBorder="1" applyAlignment="1" applyProtection="1">
      <alignment horizontal="center"/>
      <protection hidden="1"/>
    </xf>
    <xf numFmtId="3" fontId="0" fillId="0" borderId="135" xfId="0" applyNumberFormat="1" applyBorder="1" applyAlignment="1" applyProtection="1">
      <alignment horizontal="center"/>
      <protection hidden="1"/>
    </xf>
    <xf numFmtId="10" fontId="4" fillId="0" borderId="0" xfId="0" applyNumberFormat="1" applyFont="1" applyAlignment="1">
      <alignment horizontal="center"/>
    </xf>
  </cellXfs>
  <cellStyles count="22">
    <cellStyle name="Comma" xfId="1" xr:uid="{00000000-0005-0000-0000-000000000000}"/>
    <cellStyle name="Comma[0]" xfId="2" xr:uid="{00000000-0005-0000-0000-000001000000}"/>
    <cellStyle name="Currency" xfId="3" xr:uid="{00000000-0005-0000-0000-000002000000}"/>
    <cellStyle name="Currency[0]" xfId="4" xr:uid="{00000000-0005-0000-0000-000003000000}"/>
    <cellStyle name="Euro" xfId="10" xr:uid="{00000000-0005-0000-0000-000004000000}"/>
    <cellStyle name="Excel Built-in Comma" xfId="13" xr:uid="{00000000-0005-0000-0000-000005000000}"/>
    <cellStyle name="Heading" xfId="14" xr:uid="{00000000-0005-0000-0000-000006000000}"/>
    <cellStyle name="Heading 1" xfId="15" xr:uid="{00000000-0005-0000-0000-000007000000}"/>
    <cellStyle name="Heading1" xfId="16" xr:uid="{00000000-0005-0000-0000-000008000000}"/>
    <cellStyle name="Heading1 2" xfId="17" xr:uid="{00000000-0005-0000-0000-000009000000}"/>
    <cellStyle name="Normal" xfId="0" builtinId="0"/>
    <cellStyle name="Normal 2" xfId="5" xr:uid="{00000000-0005-0000-0000-00000B000000}"/>
    <cellStyle name="Normal 2 2" xfId="6" xr:uid="{00000000-0005-0000-0000-00000C000000}"/>
    <cellStyle name="Normal 3" xfId="7" xr:uid="{00000000-0005-0000-0000-00000D000000}"/>
    <cellStyle name="Normal 4" xfId="9" xr:uid="{00000000-0005-0000-0000-00000E000000}"/>
    <cellStyle name="Normal 5" xfId="12" xr:uid="{00000000-0005-0000-0000-00000F000000}"/>
    <cellStyle name="Percent" xfId="8" xr:uid="{00000000-0005-0000-0000-000010000000}"/>
    <cellStyle name="Porcentaje" xfId="11" builtinId="5"/>
    <cellStyle name="Result" xfId="18" xr:uid="{00000000-0005-0000-0000-000012000000}"/>
    <cellStyle name="Result 3" xfId="19" xr:uid="{00000000-0005-0000-0000-000013000000}"/>
    <cellStyle name="Result2" xfId="20" xr:uid="{00000000-0005-0000-0000-000014000000}"/>
    <cellStyle name="Result2 4" xfId="21" xr:uid="{00000000-0005-0000-0000-000015000000}"/>
  </cellStyles>
  <dxfs count="152">
    <dxf>
      <font>
        <condense val="0"/>
        <extend val="0"/>
        <color rgb="FF9C0006"/>
      </font>
    </dxf>
    <dxf>
      <font>
        <b/>
      </font>
      <numFmt numFmtId="3" formatCode="#,##0"/>
      <alignment horizontal="center" vertical="bottom" textRotation="0" wrapText="0" relativeIndent="0" justifyLastLine="0" shrinkToFit="0" readingOrder="0"/>
      <border diagonalUp="0" diagonalDown="0" outline="0">
        <left style="thin">
          <color rgb="FF000000"/>
        </left>
        <right/>
        <top/>
        <bottom/>
      </border>
    </dxf>
    <dxf>
      <font>
        <strike val="0"/>
        <outline val="0"/>
        <shadow val="0"/>
        <u val="none"/>
        <vertAlign val="baseline"/>
        <sz val="11"/>
        <color rgb="FF000000"/>
        <name val="Calibri"/>
        <scheme val="none"/>
      </font>
      <numFmt numFmtId="3" formatCode="#,##0"/>
      <alignment horizontal="center" vertical="bottom" textRotation="0" wrapText="0" relativeIndent="0" justifyLastLine="0" shrinkToFit="0" readingOrder="0"/>
      <border diagonalUp="0" diagonalDown="0" outline="0">
        <left style="thin">
          <color rgb="FF000000"/>
        </left>
        <right/>
        <top/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rgb="FF000000"/>
        <name val="Calibri"/>
        <scheme val="none"/>
      </font>
      <numFmt numFmtId="3" formatCode="#,##0"/>
      <alignment horizontal="center" vertical="bottom" textRotation="0" wrapText="0" relative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rgb="FF000000"/>
        <name val="Calibri"/>
        <scheme val="none"/>
      </font>
      <numFmt numFmtId="3" formatCode="#,##0"/>
      <alignment horizontal="center" vertical="bottom" textRotation="0" wrapText="0" relative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rgb="FF000000"/>
        <name val="Calibri"/>
        <scheme val="none"/>
      </font>
      <numFmt numFmtId="3" formatCode="#,##0"/>
      <alignment horizontal="center" vertical="bottom" textRotation="0" wrapText="0" relative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rgb="FF000000"/>
        <name val="Calibri"/>
        <scheme val="none"/>
      </font>
      <numFmt numFmtId="3" formatCode="#,##0"/>
      <alignment horizontal="center" vertical="bottom" textRotation="0" wrapText="0" relative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rgb="FF000000"/>
        <name val="Calibri"/>
        <scheme val="none"/>
      </font>
      <numFmt numFmtId="3" formatCode="#,##0"/>
      <alignment horizontal="center" vertical="bottom" textRotation="0" wrapText="0" relative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rgb="FF000000"/>
        <name val="Calibri"/>
        <scheme val="none"/>
      </font>
      <numFmt numFmtId="3" formatCode="#,##0"/>
      <alignment horizontal="center" vertical="bottom" textRotation="0" wrapText="0" relative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rgb="FF000000"/>
        <name val="Calibri"/>
        <scheme val="none"/>
      </font>
      <numFmt numFmtId="3" formatCode="#,##0"/>
      <alignment horizontal="center" vertical="bottom" textRotation="0" wrapText="0" relative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rgb="FF000000"/>
        <name val="Calibri"/>
        <scheme val="none"/>
      </font>
      <numFmt numFmtId="3" formatCode="#,##0"/>
      <alignment horizontal="center" vertical="bottom" textRotation="0" wrapText="0" relative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 style="thin">
          <color rgb="FF000000"/>
        </bottom>
        <vertical/>
        <horizontal/>
      </border>
    </dxf>
    <dxf>
      <border outline="0">
        <right style="thin">
          <color rgb="FF000000"/>
        </right>
        <bottom style="thin">
          <color rgb="FF000000"/>
        </bottom>
      </border>
    </dxf>
    <dxf>
      <alignment horizontal="center" vertical="bottom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3" formatCode="#,##0"/>
      <alignment horizontal="center" vertical="bottom" textRotation="0" wrapText="0" relative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b/>
      </font>
      <numFmt numFmtId="3" formatCode="#,##0"/>
      <alignment horizontal="center" vertical="bottom" textRotation="0" wrapText="0" relative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</border>
    </dxf>
    <dxf>
      <numFmt numFmtId="3" formatCode="#,##0"/>
      <alignment horizontal="center" vertical="bottom" textRotation="0" wrapText="0" relativeIndent="0" justifyLastLine="0" shrinkToFit="0" readingOrder="0"/>
      <border diagonalUp="0" diagonalDown="0" outline="0">
        <left style="thin">
          <color rgb="FF000000"/>
        </left>
        <right/>
        <top/>
        <bottom style="thin">
          <color rgb="FF000000"/>
        </bottom>
      </border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 style="thin">
          <color rgb="FF000000"/>
        </bottom>
        <vertical/>
        <horizontal/>
      </border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 style="thin">
          <color rgb="FF000000"/>
        </bottom>
        <vertical/>
        <horizontal/>
      </border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 style="thin">
          <color rgb="FF000000"/>
        </bottom>
        <vertical/>
        <horizontal/>
      </border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 style="thin">
          <color rgb="FF000000"/>
        </bottom>
        <vertical/>
        <horizontal/>
      </border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 style="thin">
          <color rgb="FF000000"/>
        </bottom>
        <vertical/>
        <horizontal/>
      </border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 style="thin">
          <color rgb="FF000000"/>
        </bottom>
        <vertical/>
        <horizontal/>
      </border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 style="thin">
          <color rgb="FF000000"/>
        </bottom>
        <vertical/>
        <horizontal/>
      </border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 style="thin">
          <color rgb="FF000000"/>
        </bottom>
        <vertical/>
        <horizontal/>
      </border>
    </dxf>
    <dxf>
      <border outline="0">
        <right style="thin">
          <color rgb="FF000000"/>
        </right>
        <bottom style="thin">
          <color rgb="FF000000"/>
        </bottom>
      </border>
    </dxf>
    <dxf>
      <alignment horizontal="center" vertical="bottom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3" formatCode="#,##0"/>
      <alignment horizontal="center" vertical="bottom" textRotation="0" wrapText="0" relative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b/>
      </font>
      <numFmt numFmtId="3" formatCode="#,##0"/>
      <alignment horizontal="center" vertical="bottom" textRotation="0" wrapText="0" relativeIndent="0" justifyLastLine="0" shrinkToFit="0" readingOrder="0"/>
      <border diagonalUp="0" diagonalDown="0" outline="0">
        <left style="medium">
          <color indexed="64"/>
        </left>
        <right/>
        <top style="dashed">
          <color indexed="64"/>
        </top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/>
        <top style="dashed">
          <color indexed="64"/>
        </top>
        <bottom style="medium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medium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medium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medium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medium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medium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medium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medium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medium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dashed">
          <color indexed="64"/>
        </top>
        <bottom style="medium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dashed">
          <color indexed="64"/>
        </top>
        <bottom style="medium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dashed">
          <color indexed="64"/>
        </top>
        <bottom style="medium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medium">
          <color indexed="64"/>
        </bottom>
        <vertical/>
        <horizontal/>
      </border>
      <protection locked="1" hidden="1"/>
    </dxf>
    <dxf>
      <border outline="0">
        <right style="medium">
          <color indexed="64"/>
        </right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center" vertical="bottom" textRotation="0" wrapText="0" relative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theme="1"/>
        </left>
        <right/>
        <top style="dashed">
          <color theme="1"/>
        </top>
        <bottom style="dashed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theme="1"/>
        </left>
        <right style="medium">
          <color indexed="64"/>
        </right>
        <top style="dashed">
          <color theme="1"/>
        </top>
        <bottom style="dashed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theme="1"/>
        </left>
        <right style="thin">
          <color theme="1"/>
        </right>
        <top style="dashed">
          <color theme="1"/>
        </top>
        <bottom style="dashed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theme="1"/>
        </left>
        <right style="thin">
          <color theme="1"/>
        </right>
        <top style="dashed">
          <color theme="1"/>
        </top>
        <bottom style="dashed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theme="1"/>
        </left>
        <right style="thin">
          <color theme="1"/>
        </right>
        <top style="dashed">
          <color theme="1"/>
        </top>
        <bottom style="dashed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theme="1"/>
        </left>
        <right style="thin">
          <color theme="1"/>
        </right>
        <top style="dashed">
          <color theme="1"/>
        </top>
        <bottom style="dashed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theme="1"/>
        </left>
        <right style="thin">
          <color theme="1"/>
        </right>
        <top style="dashed">
          <color theme="1"/>
        </top>
        <bottom style="dashed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theme="1"/>
        </left>
        <right style="thin">
          <color theme="1"/>
        </right>
        <top style="dashed">
          <color theme="1"/>
        </top>
        <bottom style="dashed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theme="1"/>
        </left>
        <right style="thin">
          <color theme="1"/>
        </right>
        <top style="dashed">
          <color theme="1"/>
        </top>
        <bottom style="dashed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theme="1"/>
        </left>
        <right style="thin">
          <color theme="1"/>
        </right>
        <top style="dashed">
          <color theme="1"/>
        </top>
        <bottom style="dashed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theme="1"/>
        </left>
        <right style="thin">
          <color theme="1"/>
        </right>
        <top style="dashed">
          <color theme="1"/>
        </top>
        <bottom style="dashed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theme="1"/>
        </left>
        <right style="thin">
          <color theme="1"/>
        </right>
        <top style="dashed">
          <color theme="1"/>
        </top>
        <bottom style="dashed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medium">
          <color indexed="64"/>
        </left>
        <right style="thin">
          <color theme="1"/>
        </right>
        <top style="dashed">
          <color theme="1"/>
        </top>
        <bottom style="dashed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dashed">
          <color theme="1"/>
        </top>
        <bottom style="dashed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dashed">
          <color auto="1"/>
        </top>
        <bottom style="dashed">
          <color auto="1"/>
        </bottom>
      </border>
    </dxf>
    <dxf>
      <border>
        <top style="dashed">
          <color theme="1"/>
        </top>
        <vertical/>
        <horizontal/>
      </border>
    </dxf>
    <dxf>
      <border diagonalUp="0" diagonalDown="0">
        <left style="medium">
          <color theme="1"/>
        </left>
        <right style="medium">
          <color indexed="64"/>
        </right>
        <top style="medium">
          <color theme="1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</dxf>
    <dxf>
      <border>
        <bottom style="dashed">
          <color theme="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3" formatCode="#,##0"/>
      <fill>
        <patternFill patternType="solid">
          <fgColor theme="5"/>
          <bgColor theme="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theme="1"/>
        </left>
        <right style="thin">
          <color theme="1"/>
        </right>
        <top/>
        <bottom/>
      </border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medium">
          <color indexed="64"/>
        </left>
        <right/>
        <top style="dashed">
          <color indexed="64"/>
        </top>
        <bottom/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rgb="FF000000"/>
        </left>
        <right style="medium">
          <color indexed="64"/>
        </right>
        <top style="dashed">
          <color rgb="FF000000"/>
        </top>
        <bottom style="medium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dashed">
          <color rgb="FF000000"/>
        </top>
        <bottom style="medium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dashed">
          <color rgb="FF000000"/>
        </top>
        <bottom style="medium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dashed">
          <color rgb="FF000000"/>
        </top>
        <bottom style="medium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dashed">
          <color rgb="FF000000"/>
        </top>
        <bottom style="medium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dashed">
          <color rgb="FF000000"/>
        </top>
        <bottom style="medium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dashed">
          <color rgb="FF000000"/>
        </top>
        <bottom style="medium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dashed">
          <color rgb="FF000000"/>
        </top>
        <bottom style="medium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dashed">
          <color rgb="FF000000"/>
        </top>
        <bottom style="medium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dashed">
          <color rgb="FF000000"/>
        </top>
        <bottom style="medium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dashed">
          <color rgb="FF000000"/>
        </top>
        <bottom style="medium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medium">
          <color rgb="FF000000"/>
        </left>
        <right style="thin">
          <color rgb="FF000000"/>
        </right>
        <top style="dashed">
          <color rgb="FF000000"/>
        </top>
        <bottom style="medium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  <border diagonalUp="0" diagonalDown="0">
        <left style="thin">
          <color rgb="FF000000"/>
        </left>
        <right/>
        <top style="dashed">
          <color rgb="FF000000"/>
        </top>
        <bottom style="medium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dashed">
          <color rgb="FF000000"/>
        </top>
        <bottom style="medium">
          <color indexed="64"/>
        </bottom>
        <vertical/>
        <horizontal/>
      </border>
      <protection locked="1" hidden="1"/>
    </dxf>
    <dxf>
      <border outline="0">
        <right style="medium">
          <color indexed="64"/>
        </right>
        <bottom style="medium">
          <color indexed="64"/>
        </bottom>
      </border>
    </dxf>
    <dxf>
      <alignment horizontal="center" vertical="bottom" textRotation="0" wrapText="0" relative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center" vertical="bottom" textRotation="0" wrapText="0" relativeIndent="0" justifyLastLine="0" shrinkToFit="0" readingOrder="0"/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medium">
          <color indexed="64"/>
        </left>
        <right/>
        <top style="dashed">
          <color indexed="64"/>
        </top>
        <bottom/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dashed">
          <color indexed="64"/>
        </top>
        <bottom style="medium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medium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medium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medium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medium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medium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medium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medium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medium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medium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medium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/>
        <right style="thin">
          <color indexed="64"/>
        </right>
        <top style="dashed">
          <color indexed="64"/>
        </top>
        <bottom style="medium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dashed">
          <color rgb="FF000000"/>
        </top>
        <bottom style="medium">
          <color rgb="FF000000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medium">
          <color indexed="64"/>
        </bottom>
        <vertical/>
        <horizontal/>
      </border>
      <protection locked="1" hidden="1"/>
    </dxf>
    <dxf>
      <border outline="0">
        <right style="medium">
          <color indexed="64"/>
        </right>
        <bottom style="medium">
          <color indexed="64"/>
        </bottom>
      </border>
    </dxf>
    <dxf>
      <alignment horizontal="center" vertical="bottom" textRotation="0" wrapText="0" relative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center" vertical="bottom" textRotation="0" wrapText="0" relativeIndent="0" justifyLastLine="0" shrinkToFit="0" readingOrder="0"/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auto="1"/>
        </top>
        <bottom style="medium">
          <color auto="1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dashed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dashed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dashed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dashed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dashed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dashed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dashed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dashed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dashed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dashed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dashed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dashed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auto="1"/>
        </top>
        <bottom style="medium">
          <color auto="1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dashed">
          <color indexed="64"/>
        </bottom>
        <vertical/>
        <horizontal/>
      </border>
      <protection locked="1" hidden="1"/>
    </dxf>
    <dxf>
      <border>
        <top style="dashed">
          <color rgb="FF000000"/>
        </top>
        <vertical/>
        <horizontal/>
      </border>
    </dxf>
    <dxf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alignment horizontal="center" vertical="bottom" textRotation="0" wrapText="0" relativeIndent="0" justifyLastLine="0" shrinkToFit="0" readingOrder="0"/>
      <protection locked="1" hidden="1"/>
    </dxf>
    <dxf>
      <border>
        <bottom style="medium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auto="1"/>
        </top>
        <bottom style="medium">
          <color auto="1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dashed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dashed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dashed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dashed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dashed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dashed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dashed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dashed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dashed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dashed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dashed">
          <color indexed="64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dashed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auto="1"/>
        </top>
        <bottom style="medium">
          <color auto="1"/>
        </bottom>
        <vertical/>
        <horizontal/>
      </border>
      <protection locked="1" hidden="1"/>
    </dxf>
    <dxf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dashed">
          <color indexed="64"/>
        </top>
        <bottom style="dashed">
          <color indexed="64"/>
        </bottom>
        <vertical/>
        <horizontal/>
      </border>
      <protection locked="1" hidden="1"/>
    </dxf>
    <dxf>
      <border>
        <top style="dashed">
          <color indexed="64"/>
        </top>
        <vertical/>
        <horizontal/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center" vertical="bottom" textRotation="0" wrapText="0" relativeIndent="0" justifyLastLine="0" shrinkToFit="0" readingOrder="0"/>
      <protection locked="1" hidden="1"/>
    </dxf>
    <dxf>
      <border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1"/>
    </dxf>
    <dxf>
      <fill>
        <patternFill>
          <bgColor theme="0" tint="-4.9989318521683403E-2"/>
        </patternFill>
      </fill>
    </dxf>
  </dxfs>
  <tableStyles count="1" defaultPivotStyle="PivotStyleLight16">
    <tableStyle name="Estilo de tabla 1" pivot="0" count="1" xr9:uid="{00000000-0011-0000-FFFF-FFFF00000000}">
      <tableStyleElement type="firstRowStripe" dxfId="151"/>
    </tableStyle>
  </tableStyles>
  <colors>
    <mruColors>
      <color rgb="FFE2E2E2"/>
      <color rgb="FF800000"/>
      <color rgb="FFCFCF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2017</c:v>
          </c:tx>
          <c:invertIfNegative val="0"/>
          <c:dPt>
            <c:idx val="0"/>
            <c:invertIfNegative val="0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0-917C-454A-9F89-20CB4D869E60}"/>
              </c:ext>
            </c:extLst>
          </c:dPt>
          <c:dPt>
            <c:idx val="1"/>
            <c:invertIfNegative val="0"/>
            <c:bubble3D val="0"/>
            <c:spPr>
              <a:solidFill>
                <a:srgbClr val="FFFF00"/>
              </a:solidFill>
            </c:spPr>
            <c:extLst>
              <c:ext xmlns:c16="http://schemas.microsoft.com/office/drawing/2014/chart" uri="{C3380CC4-5D6E-409C-BE32-E72D297353CC}">
                <c16:uniqueId val="{00000001-917C-454A-9F89-20CB4D869E60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2-917C-454A-9F89-20CB4D869E60}"/>
              </c:ext>
            </c:extLst>
          </c:dPt>
          <c:dPt>
            <c:idx val="3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917C-454A-9F89-20CB4D869E60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4-917C-454A-9F89-20CB4D869E6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/>
                </a:pPr>
                <a:endParaRPr lang="es-E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('RESUM 2019'!$A$3,'RESUM 2019'!$A$8,'RESUM 2019'!$A$13,'RESUM 2019'!$A$18,'RESUM 2019'!$A$23)</c:f>
              <c:strCache>
                <c:ptCount val="5"/>
                <c:pt idx="0">
                  <c:v>Paper/Cartró</c:v>
                </c:pt>
                <c:pt idx="1">
                  <c:v>Envasos</c:v>
                </c:pt>
                <c:pt idx="2">
                  <c:v>Vidre</c:v>
                </c:pt>
                <c:pt idx="3">
                  <c:v>RMO</c:v>
                </c:pt>
                <c:pt idx="4">
                  <c:v>FORM</c:v>
                </c:pt>
              </c:strCache>
            </c:strRef>
          </c:cat>
          <c:val>
            <c:numRef>
              <c:f>('RESUM 2019'!$N$4,'RESUM 2019'!$N$9,'RESUM 2019'!$N$14,'RESUM 2019'!$N$19,'RESUM 2019'!$N$24)</c:f>
              <c:numCache>
                <c:formatCode>#,##0</c:formatCode>
                <c:ptCount val="5"/>
                <c:pt idx="0">
                  <c:v>4942041.08</c:v>
                </c:pt>
                <c:pt idx="1">
                  <c:v>5575107.7299999995</c:v>
                </c:pt>
                <c:pt idx="2">
                  <c:v>5541900.5999999987</c:v>
                </c:pt>
                <c:pt idx="3">
                  <c:v>14364260</c:v>
                </c:pt>
                <c:pt idx="4">
                  <c:v>5812523.8599999994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17C-454A-9F89-20CB4D869E60}"/>
            </c:ext>
          </c:extLst>
        </c:ser>
        <c:ser>
          <c:idx val="1"/>
          <c:order val="1"/>
          <c:tx>
            <c:v>2018</c:v>
          </c:tx>
          <c:invertIfNegative val="0"/>
          <c:dPt>
            <c:idx val="0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6-917C-454A-9F89-20CB4D869E60}"/>
              </c:ext>
            </c:extLst>
          </c:dPt>
          <c:dPt>
            <c:idx val="1"/>
            <c:invertIfNegative val="0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7-917C-454A-9F89-20CB4D869E60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8-917C-454A-9F89-20CB4D869E60}"/>
              </c:ext>
            </c:extLst>
          </c:dPt>
          <c:dPt>
            <c:idx val="3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9-917C-454A-9F89-20CB4D869E60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A-917C-454A-9F89-20CB4D869E6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/>
                </a:pPr>
                <a:endParaRPr lang="es-E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('RESUM 2019'!$A$3,'RESUM 2019'!$A$8,'RESUM 2019'!$A$13,'RESUM 2019'!$A$18,'RESUM 2019'!$A$23)</c:f>
              <c:strCache>
                <c:ptCount val="5"/>
                <c:pt idx="0">
                  <c:v>Paper/Cartró</c:v>
                </c:pt>
                <c:pt idx="1">
                  <c:v>Envasos</c:v>
                </c:pt>
                <c:pt idx="2">
                  <c:v>Vidre</c:v>
                </c:pt>
                <c:pt idx="3">
                  <c:v>RMO</c:v>
                </c:pt>
                <c:pt idx="4">
                  <c:v>FORM</c:v>
                </c:pt>
              </c:strCache>
            </c:strRef>
          </c:cat>
          <c:val>
            <c:numRef>
              <c:f>('RESUM 2019'!$N$5,'RESUM 2019'!$N$10,'RESUM 2019'!$N$15,'RESUM 2019'!$N$20,'RESUM 2019'!$N$25)</c:f>
              <c:numCache>
                <c:formatCode>#,##0</c:formatCode>
                <c:ptCount val="5"/>
                <c:pt idx="0">
                  <c:v>6013570.9999999991</c:v>
                </c:pt>
                <c:pt idx="1">
                  <c:v>5928109.8777639745</c:v>
                </c:pt>
                <c:pt idx="2">
                  <c:v>5658040.7699999996</c:v>
                </c:pt>
                <c:pt idx="3">
                  <c:v>15207098</c:v>
                </c:pt>
                <c:pt idx="4">
                  <c:v>5697171.0299999993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917C-454A-9F89-20CB4D869E60}"/>
            </c:ext>
          </c:extLst>
        </c:ser>
        <c:ser>
          <c:idx val="2"/>
          <c:order val="2"/>
          <c:tx>
            <c:v>2019</c:v>
          </c:tx>
          <c:spPr>
            <a:solidFill>
              <a:schemeClr val="tx2">
                <a:lumMod val="20000"/>
                <a:lumOff val="80000"/>
              </a:schemeClr>
            </a:solidFill>
          </c:spPr>
          <c:invertIfNegative val="0"/>
          <c:dPt>
            <c:idx val="1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A-FE5C-42D5-B4C6-AC121F02C8CC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B-FE5C-42D5-B4C6-AC121F02C8CC}"/>
              </c:ext>
            </c:extLst>
          </c:dPt>
          <c:dPt>
            <c:idx val="3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C-FE5C-42D5-B4C6-AC121F02C8CC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D-FE5C-42D5-B4C6-AC121F02C8CC}"/>
              </c:ext>
            </c:extLst>
          </c:dPt>
          <c:cat>
            <c:strRef>
              <c:f>('RESUM 2019'!$A$3,'RESUM 2019'!$A$8,'RESUM 2019'!$A$13,'RESUM 2019'!$A$18,'RESUM 2019'!$A$23)</c:f>
              <c:strCache>
                <c:ptCount val="5"/>
                <c:pt idx="0">
                  <c:v>Paper/Cartró</c:v>
                </c:pt>
                <c:pt idx="1">
                  <c:v>Envasos</c:v>
                </c:pt>
                <c:pt idx="2">
                  <c:v>Vidre</c:v>
                </c:pt>
                <c:pt idx="3">
                  <c:v>RMO</c:v>
                </c:pt>
                <c:pt idx="4">
                  <c:v>FORM</c:v>
                </c:pt>
              </c:strCache>
            </c:strRef>
          </c:cat>
          <c:val>
            <c:numRef>
              <c:f>('RESUM 2019'!$N$6,'RESUM 2019'!$N$11,'RESUM 2019'!$N$16,'RESUM 2019'!$N$21,'RESUM 2019'!$N$26)</c:f>
              <c:numCache>
                <c:formatCode>#,##0</c:formatCode>
                <c:ptCount val="5"/>
                <c:pt idx="0">
                  <c:v>7250915.5699999984</c:v>
                </c:pt>
                <c:pt idx="1">
                  <c:v>6430166.6979999989</c:v>
                </c:pt>
                <c:pt idx="2">
                  <c:v>5865099.9999999991</c:v>
                </c:pt>
                <c:pt idx="3">
                  <c:v>12866677.82</c:v>
                </c:pt>
                <c:pt idx="4">
                  <c:v>5559130.04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FE5C-42D5-B4C6-AC121F02C8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439040"/>
        <c:axId val="108440576"/>
      </c:barChart>
      <c:catAx>
        <c:axId val="108439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8440576"/>
        <c:crosses val="autoZero"/>
        <c:auto val="1"/>
        <c:lblAlgn val="ctr"/>
        <c:lblOffset val="100"/>
        <c:noMultiLvlLbl val="0"/>
      </c:catAx>
      <c:valAx>
        <c:axId val="10844057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crossAx val="1084390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722" l="0.70000000000000062" r="0.70000000000000062" t="0.7500000000000072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400"/>
              <a:t>RMO  2019-2018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RMO!$B$46</c:f>
              <c:strCache>
                <c:ptCount val="1"/>
                <c:pt idx="0">
                  <c:v>TOTAL MENSUAL 2018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dLbl>
              <c:idx val="3"/>
              <c:layout>
                <c:manualLayout>
                  <c:x val="-6.8376068376068393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C0A-4C17-BFA0-FB452F56868E}"/>
                </c:ext>
              </c:extLst>
            </c:dLbl>
            <c:dLbl>
              <c:idx val="4"/>
              <c:layout>
                <c:manualLayout>
                  <c:x val="-1.1946160576081801E-2"/>
                  <c:y val="-1.32450787401579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C0A-4C17-BFA0-FB452F56868E}"/>
                </c:ext>
              </c:extLst>
            </c:dLbl>
            <c:dLbl>
              <c:idx val="5"/>
              <c:layout>
                <c:manualLayout>
                  <c:x val="4.656661507055208E-3"/>
                  <c:y val="1.25000000000000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C0A-4C17-BFA0-FB452F56868E}"/>
                </c:ext>
              </c:extLst>
            </c:dLbl>
            <c:dLbl>
              <c:idx val="8"/>
              <c:layout>
                <c:manualLayout>
                  <c:x val="8.3569784832136843E-17"/>
                  <c:y val="-2.08333333333334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C0A-4C17-BFA0-FB452F56868E}"/>
                </c:ext>
              </c:extLst>
            </c:dLbl>
            <c:dLbl>
              <c:idx val="9"/>
              <c:layout>
                <c:manualLayout>
                  <c:x val="7.9772079772079032E-3"/>
                  <c:y val="-1.25000000000000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C0A-4C17-BFA0-FB452F56868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RMO!$C$3:$N$3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RMO!$C$46:$N$46</c:f>
              <c:numCache>
                <c:formatCode>#,##0</c:formatCode>
                <c:ptCount val="12"/>
                <c:pt idx="0">
                  <c:v>1345359</c:v>
                </c:pt>
                <c:pt idx="1">
                  <c:v>1082860</c:v>
                </c:pt>
                <c:pt idx="2">
                  <c:v>1333560</c:v>
                </c:pt>
                <c:pt idx="3">
                  <c:v>1294260</c:v>
                </c:pt>
                <c:pt idx="4">
                  <c:v>1317200</c:v>
                </c:pt>
                <c:pt idx="5">
                  <c:v>1336220</c:v>
                </c:pt>
                <c:pt idx="6">
                  <c:v>1378020</c:v>
                </c:pt>
                <c:pt idx="7">
                  <c:v>1325839</c:v>
                </c:pt>
                <c:pt idx="8">
                  <c:v>1244100</c:v>
                </c:pt>
                <c:pt idx="9">
                  <c:v>1327400</c:v>
                </c:pt>
                <c:pt idx="10">
                  <c:v>1140760</c:v>
                </c:pt>
                <c:pt idx="11">
                  <c:v>1115400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C0A-4C17-BFA0-FB452F56868E}"/>
            </c:ext>
          </c:extLst>
        </c:ser>
        <c:ser>
          <c:idx val="41"/>
          <c:order val="1"/>
          <c:tx>
            <c:strRef>
              <c:f>RMO!$B$45</c:f>
              <c:strCache>
                <c:ptCount val="1"/>
                <c:pt idx="0">
                  <c:v>TOTAL MENSUAL 2019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1356708616551301E-2"/>
                  <c:y val="-1.32450787401579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C0A-4C17-BFA0-FB452F56868E}"/>
                </c:ext>
              </c:extLst>
            </c:dLbl>
            <c:dLbl>
              <c:idx val="1"/>
              <c:layout>
                <c:manualLayout>
                  <c:x val="9.737098344693282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C0A-4C17-BFA0-FB452F56868E}"/>
                </c:ext>
              </c:extLst>
            </c:dLbl>
            <c:dLbl>
              <c:idx val="2"/>
              <c:layout>
                <c:manualLayout>
                  <c:x val="-7.6628352490421452E-3"/>
                  <c:y val="-4.0470481061489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C0A-4C17-BFA0-FB452F56868E}"/>
                </c:ext>
              </c:extLst>
            </c:dLbl>
            <c:dLbl>
              <c:idx val="3"/>
              <c:layout>
                <c:manualLayout>
                  <c:x val="9.1168091168094233E-3"/>
                  <c:y val="-3.3333333333333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C0A-4C17-BFA0-FB452F56868E}"/>
                </c:ext>
              </c:extLst>
            </c:dLbl>
            <c:dLbl>
              <c:idx val="4"/>
              <c:layout>
                <c:manualLayout>
                  <c:x val="7.662835249042145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C0A-4C17-BFA0-FB452F56868E}"/>
                </c:ext>
              </c:extLst>
            </c:dLbl>
            <c:dLbl>
              <c:idx val="5"/>
              <c:layout>
                <c:manualLayout>
                  <c:x val="0"/>
                  <c:y val="-2.91666666666666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C0A-4C17-BFA0-FB452F56868E}"/>
                </c:ext>
              </c:extLst>
            </c:dLbl>
            <c:dLbl>
              <c:idx val="7"/>
              <c:layout>
                <c:manualLayout>
                  <c:x val="1.8233618233618281E-2"/>
                  <c:y val="-4.166666666666704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C0A-4C17-BFA0-FB452F56868E}"/>
                </c:ext>
              </c:extLst>
            </c:dLbl>
            <c:dLbl>
              <c:idx val="8"/>
              <c:layout>
                <c:manualLayout>
                  <c:x val="1.253561253561261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C0A-4C17-BFA0-FB452F56868E}"/>
                </c:ext>
              </c:extLst>
            </c:dLbl>
            <c:dLbl>
              <c:idx val="9"/>
              <c:layout>
                <c:manualLayout>
                  <c:x val="2.73504273504273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0C0A-4C17-BFA0-FB452F56868E}"/>
                </c:ext>
              </c:extLst>
            </c:dLbl>
            <c:dLbl>
              <c:idx val="11"/>
              <c:layout>
                <c:manualLayout>
                  <c:x val="2.051282051282051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C0A-4C17-BFA0-FB452F56868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RMO!$C$3:$N$3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RMO!$C$45:$N$45</c:f>
              <c:numCache>
                <c:formatCode>#,##0</c:formatCode>
                <c:ptCount val="12"/>
                <c:pt idx="0">
                  <c:v>1037280.0100000001</c:v>
                </c:pt>
                <c:pt idx="1">
                  <c:v>988299</c:v>
                </c:pt>
                <c:pt idx="2">
                  <c:v>1061900</c:v>
                </c:pt>
                <c:pt idx="3">
                  <c:v>1040420</c:v>
                </c:pt>
                <c:pt idx="4">
                  <c:v>1131120</c:v>
                </c:pt>
                <c:pt idx="5">
                  <c:v>1104280</c:v>
                </c:pt>
                <c:pt idx="6">
                  <c:v>1196720</c:v>
                </c:pt>
                <c:pt idx="7">
                  <c:v>1076958.8199999998</c:v>
                </c:pt>
                <c:pt idx="8">
                  <c:v>1075740</c:v>
                </c:pt>
                <c:pt idx="9">
                  <c:v>1041840</c:v>
                </c:pt>
                <c:pt idx="10">
                  <c:v>1021720</c:v>
                </c:pt>
                <c:pt idx="11">
                  <c:v>1090399.99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0C0A-4C17-BFA0-FB452F5686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112437888"/>
        <c:axId val="112456064"/>
        <c:axId val="0"/>
      </c:bar3DChart>
      <c:catAx>
        <c:axId val="112437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12456064"/>
        <c:crosses val="autoZero"/>
        <c:auto val="1"/>
        <c:lblAlgn val="ctr"/>
        <c:lblOffset val="100"/>
        <c:noMultiLvlLbl val="0"/>
      </c:catAx>
      <c:valAx>
        <c:axId val="112456064"/>
        <c:scaling>
          <c:orientation val="minMax"/>
          <c:min val="8000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1243788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egendEntry>
        <c:idx val="0"/>
        <c:txPr>
          <a:bodyPr/>
          <a:lstStyle/>
          <a:p>
            <a:pPr>
              <a:defRPr sz="1000" b="1" i="0" u="none" strike="noStrike" baseline="0">
                <a:solidFill>
                  <a:srgbClr val="FF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</c:legendEntry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4803149606300756" l="0.70866141732284804" r="0.70866141732284804" t="0.74803149606300756" header="0.3149606299212705" footer="0.3149606299212705"/>
    <c:pageSetup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400"/>
              <a:t>RMO  2019-2018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RMO!$B$46</c:f>
              <c:strCache>
                <c:ptCount val="1"/>
                <c:pt idx="0">
                  <c:v>TOTAL MENSUAL 2018</c:v>
                </c:pt>
              </c:strCache>
            </c:strRef>
          </c:tx>
          <c:spPr>
            <a:ln>
              <a:solidFill>
                <a:schemeClr val="bg1">
                  <a:lumMod val="50000"/>
                </a:schemeClr>
              </a:solidFill>
            </a:ln>
          </c:spPr>
          <c:marker>
            <c:spPr>
              <a:solidFill>
                <a:schemeClr val="bg1">
                  <a:lumMod val="50000"/>
                </a:schemeClr>
              </a:solidFill>
            </c:spPr>
          </c:marker>
          <c:dLbls>
            <c:dLbl>
              <c:idx val="0"/>
              <c:layout>
                <c:manualLayout>
                  <c:x val="-5.7028799543769734E-3"/>
                  <c:y val="-2.50000000000000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B7F-4A99-8E74-3705E0C3C16B}"/>
                </c:ext>
              </c:extLst>
            </c:dLbl>
            <c:dLbl>
              <c:idx val="3"/>
              <c:layout>
                <c:manualLayout>
                  <c:x val="-1.1405759908754191E-3"/>
                  <c:y val="2.50000000000000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B7F-4A99-8E74-3705E0C3C16B}"/>
                </c:ext>
              </c:extLst>
            </c:dLbl>
            <c:dLbl>
              <c:idx val="4"/>
              <c:layout>
                <c:manualLayout>
                  <c:x val="-5.1085568326947684E-3"/>
                  <c:y val="-1.32450377170701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B7F-4A99-8E74-3705E0C3C16B}"/>
                </c:ext>
              </c:extLst>
            </c:dLbl>
            <c:dLbl>
              <c:idx val="5"/>
              <c:layout>
                <c:manualLayout>
                  <c:x val="1.1494252873563218E-2"/>
                  <c:y val="4.0470481061489374E-1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B7F-4A99-8E74-3705E0C3C16B}"/>
                </c:ext>
              </c:extLst>
            </c:dLbl>
            <c:dLbl>
              <c:idx val="7"/>
              <c:layout>
                <c:manualLayout>
                  <c:x val="0"/>
                  <c:y val="-3.6458333333333412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B7F-4A99-8E74-3705E0C3C16B}"/>
                </c:ext>
              </c:extLst>
            </c:dLbl>
            <c:dLbl>
              <c:idx val="9"/>
              <c:layout>
                <c:manualLayout>
                  <c:x val="0"/>
                  <c:y val="3.75000000000000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B7F-4A99-8E74-3705E0C3C16B}"/>
                </c:ext>
              </c:extLst>
            </c:dLbl>
            <c:dLbl>
              <c:idx val="10"/>
              <c:layout>
                <c:manualLayout>
                  <c:x val="0"/>
                  <c:y val="-1.59722222222222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B7F-4A99-8E74-3705E0C3C16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RMO!$C$3:$N$3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RMO!$C$46:$N$46</c:f>
              <c:numCache>
                <c:formatCode>#,##0</c:formatCode>
                <c:ptCount val="12"/>
                <c:pt idx="0">
                  <c:v>1345359</c:v>
                </c:pt>
                <c:pt idx="1">
                  <c:v>1082860</c:v>
                </c:pt>
                <c:pt idx="2">
                  <c:v>1333560</c:v>
                </c:pt>
                <c:pt idx="3">
                  <c:v>1294260</c:v>
                </c:pt>
                <c:pt idx="4">
                  <c:v>1317200</c:v>
                </c:pt>
                <c:pt idx="5">
                  <c:v>1336220</c:v>
                </c:pt>
                <c:pt idx="6">
                  <c:v>1378020</c:v>
                </c:pt>
                <c:pt idx="7">
                  <c:v>1325839</c:v>
                </c:pt>
                <c:pt idx="8">
                  <c:v>1244100</c:v>
                </c:pt>
                <c:pt idx="9">
                  <c:v>1327400</c:v>
                </c:pt>
                <c:pt idx="10">
                  <c:v>1140760</c:v>
                </c:pt>
                <c:pt idx="11">
                  <c:v>1115400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6B7F-4A99-8E74-3705E0C3C16B}"/>
            </c:ext>
          </c:extLst>
        </c:ser>
        <c:ser>
          <c:idx val="41"/>
          <c:order val="1"/>
          <c:tx>
            <c:strRef>
              <c:f>RMO!$B$1</c:f>
              <c:strCache>
                <c:ptCount val="1"/>
                <c:pt idx="0">
                  <c:v>RMO - 2019</c:v>
                </c:pt>
              </c:strCache>
            </c:strRef>
          </c:tx>
          <c:spPr>
            <a:ln>
              <a:solidFill>
                <a:schemeClr val="bg1">
                  <a:lumMod val="75000"/>
                </a:schemeClr>
              </a:solidFill>
            </a:ln>
          </c:spPr>
          <c:marker>
            <c:spPr>
              <a:solidFill>
                <a:schemeClr val="bg1">
                  <a:lumMod val="75000"/>
                </a:schemeClr>
              </a:solidFill>
            </c:spPr>
          </c:marker>
          <c:dLbls>
            <c:dLbl>
              <c:idx val="0"/>
              <c:layout>
                <c:manualLayout>
                  <c:x val="6.7954080590225934E-3"/>
                  <c:y val="-5.07450787401574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B7F-4A99-8E74-3705E0C3C16B}"/>
                </c:ext>
              </c:extLst>
            </c:dLbl>
            <c:dLbl>
              <c:idx val="1"/>
              <c:layout>
                <c:manualLayout>
                  <c:x val="-1.08242680088759E-3"/>
                  <c:y val="3.47222222222222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B7F-4A99-8E74-3705E0C3C16B}"/>
                </c:ext>
              </c:extLst>
            </c:dLbl>
            <c:dLbl>
              <c:idx val="2"/>
              <c:layout>
                <c:manualLayout>
                  <c:x val="-7.6628352490421452E-3"/>
                  <c:y val="-4.0470481061489374E-1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B7F-4A99-8E74-3705E0C3C16B}"/>
                </c:ext>
              </c:extLst>
            </c:dLbl>
            <c:dLbl>
              <c:idx val="3"/>
              <c:layout>
                <c:manualLayout>
                  <c:x val="-1.4827487881380101E-2"/>
                  <c:y val="-4.1666666666666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B7F-4A99-8E74-3705E0C3C16B}"/>
                </c:ext>
              </c:extLst>
            </c:dLbl>
            <c:dLbl>
              <c:idx val="4"/>
              <c:layout>
                <c:manualLayout>
                  <c:x val="4.2411465033937133E-3"/>
                  <c:y val="-4.16666666666666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B7F-4A99-8E74-3705E0C3C16B}"/>
                </c:ext>
              </c:extLst>
            </c:dLbl>
            <c:dLbl>
              <c:idx val="5"/>
              <c:layout>
                <c:manualLayout>
                  <c:x val="0"/>
                  <c:y val="1.97916666666667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B7F-4A99-8E74-3705E0C3C16B}"/>
                </c:ext>
              </c:extLst>
            </c:dLbl>
            <c:dLbl>
              <c:idx val="7"/>
              <c:layout>
                <c:manualLayout>
                  <c:x val="-1.08242680088759E-3"/>
                  <c:y val="-3.03822861986001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6B7F-4A99-8E74-3705E0C3C16B}"/>
                </c:ext>
              </c:extLst>
            </c:dLbl>
            <c:dLbl>
              <c:idx val="8"/>
              <c:layout>
                <c:manualLayout>
                  <c:x val="-1.0242996293753587E-3"/>
                  <c:y val="1.12847222222223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6B7F-4A99-8E74-3705E0C3C16B}"/>
                </c:ext>
              </c:extLst>
            </c:dLbl>
            <c:dLbl>
              <c:idx val="9"/>
              <c:layout>
                <c:manualLayout>
                  <c:x val="1.1405759908754191E-3"/>
                  <c:y val="2.50000000000000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6B7F-4A99-8E74-3705E0C3C16B}"/>
                </c:ext>
              </c:extLst>
            </c:dLbl>
            <c:dLbl>
              <c:idx val="10"/>
              <c:layout>
                <c:manualLayout>
                  <c:x val="0"/>
                  <c:y val="-4.77430555555555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6B7F-4A99-8E74-3705E0C3C16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RMO!$C$3:$N$3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RMO!$C$45:$L$45</c:f>
              <c:numCache>
                <c:formatCode>#,##0</c:formatCode>
                <c:ptCount val="10"/>
                <c:pt idx="0">
                  <c:v>1037280.0100000001</c:v>
                </c:pt>
                <c:pt idx="1">
                  <c:v>988299</c:v>
                </c:pt>
                <c:pt idx="2">
                  <c:v>1061900</c:v>
                </c:pt>
                <c:pt idx="3">
                  <c:v>1040420</c:v>
                </c:pt>
                <c:pt idx="4">
                  <c:v>1131120</c:v>
                </c:pt>
                <c:pt idx="5">
                  <c:v>1104280</c:v>
                </c:pt>
                <c:pt idx="6">
                  <c:v>1196720</c:v>
                </c:pt>
                <c:pt idx="7">
                  <c:v>1076958.8199999998</c:v>
                </c:pt>
                <c:pt idx="8">
                  <c:v>1075740</c:v>
                </c:pt>
                <c:pt idx="9">
                  <c:v>1041840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6B7F-4A99-8E74-3705E0C3C1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371584"/>
        <c:axId val="112373120"/>
      </c:lineChart>
      <c:catAx>
        <c:axId val="112371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12373120"/>
        <c:crosses val="autoZero"/>
        <c:auto val="1"/>
        <c:lblAlgn val="ctr"/>
        <c:lblOffset val="100"/>
        <c:noMultiLvlLbl val="0"/>
      </c:catAx>
      <c:valAx>
        <c:axId val="112373120"/>
        <c:scaling>
          <c:orientation val="minMax"/>
          <c:min val="8000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12371584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1000" b="1" i="0" u="none" strike="noStrike" baseline="0">
                <a:solidFill>
                  <a:srgbClr val="FF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</c:legendEntry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1299" l="0.70000000000000062" r="0.70000000000000062" t="0.75000000000001299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400"/>
              <a:t>FORM  2019-2018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FORM!$B$46</c:f>
              <c:strCache>
                <c:ptCount val="1"/>
                <c:pt idx="0">
                  <c:v>TOTAL MENSUAL 2018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27713920817369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10C-4DDD-BD33-06A8ECC3BDFE}"/>
                </c:ext>
              </c:extLst>
            </c:dLbl>
            <c:dLbl>
              <c:idx val="1"/>
              <c:layout>
                <c:manualLayout>
                  <c:x val="-2.5544795406321945E-3"/>
                  <c:y val="8.830025144713335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10C-4DDD-BD33-06A8ECC3BDFE}"/>
                </c:ext>
              </c:extLst>
            </c:dLbl>
            <c:dLbl>
              <c:idx val="2"/>
              <c:layout>
                <c:manualLayout>
                  <c:x val="-1.1494252873563218E-2"/>
                  <c:y val="1.32450377170701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10C-4DDD-BD33-06A8ECC3BDFE}"/>
                </c:ext>
              </c:extLst>
            </c:dLbl>
            <c:dLbl>
              <c:idx val="3"/>
              <c:layout>
                <c:manualLayout>
                  <c:x val="-5.1085568326947684E-3"/>
                  <c:y val="-1.32453853558555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10C-4DDD-BD33-06A8ECC3BDFE}"/>
                </c:ext>
              </c:extLst>
            </c:dLbl>
            <c:dLbl>
              <c:idx val="4"/>
              <c:layout>
                <c:manualLayout>
                  <c:x val="5.1085568326947684E-3"/>
                  <c:y val="-2.2075062861784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10C-4DDD-BD33-06A8ECC3BDFE}"/>
                </c:ext>
              </c:extLst>
            </c:dLbl>
            <c:dLbl>
              <c:idx val="5"/>
              <c:layout>
                <c:manualLayout>
                  <c:x val="0"/>
                  <c:y val="-4.41501257235666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10C-4DDD-BD33-06A8ECC3BDF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FORM!$C$3:$N$3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FORM!$C$46:$N$46</c:f>
              <c:numCache>
                <c:formatCode>#,##0</c:formatCode>
                <c:ptCount val="12"/>
                <c:pt idx="0">
                  <c:v>441840</c:v>
                </c:pt>
                <c:pt idx="1">
                  <c:v>373740.01</c:v>
                </c:pt>
                <c:pt idx="2">
                  <c:v>483000</c:v>
                </c:pt>
                <c:pt idx="3">
                  <c:v>516380</c:v>
                </c:pt>
                <c:pt idx="4">
                  <c:v>545080.01</c:v>
                </c:pt>
                <c:pt idx="5">
                  <c:v>526860</c:v>
                </c:pt>
                <c:pt idx="6">
                  <c:v>519200</c:v>
                </c:pt>
                <c:pt idx="7">
                  <c:v>484920.00000000006</c:v>
                </c:pt>
                <c:pt idx="8">
                  <c:v>466960</c:v>
                </c:pt>
                <c:pt idx="9">
                  <c:v>461940</c:v>
                </c:pt>
                <c:pt idx="10">
                  <c:v>434380.00000000006</c:v>
                </c:pt>
                <c:pt idx="11">
                  <c:v>455420.01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10C-4DDD-BD33-06A8ECC3BDFE}"/>
            </c:ext>
          </c:extLst>
        </c:ser>
        <c:ser>
          <c:idx val="41"/>
          <c:order val="1"/>
          <c:tx>
            <c:strRef>
              <c:f>FORM!$B$1</c:f>
              <c:strCache>
                <c:ptCount val="1"/>
                <c:pt idx="0">
                  <c:v>ORGÀNICA - 2019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0775281504229298E-2"/>
                  <c:y val="-8.071025020177561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10C-4DDD-BD33-06A8ECC3BDFE}"/>
                </c:ext>
              </c:extLst>
            </c:dLbl>
            <c:dLbl>
              <c:idx val="1"/>
              <c:layout>
                <c:manualLayout>
                  <c:x val="-1.0056214239929523E-7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10C-4DDD-BD33-06A8ECC3BDFE}"/>
                </c:ext>
              </c:extLst>
            </c:dLbl>
            <c:dLbl>
              <c:idx val="4"/>
              <c:layout>
                <c:manualLayout>
                  <c:x val="1.5886524822695043E-2"/>
                  <c:y val="-1.16279069767441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10C-4DDD-BD33-06A8ECC3BDFE}"/>
                </c:ext>
              </c:extLst>
            </c:dLbl>
            <c:dLbl>
              <c:idx val="5"/>
              <c:layout>
                <c:manualLayout>
                  <c:x val="1.149425287356321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10C-4DDD-BD33-06A8ECC3BDFE}"/>
                </c:ext>
              </c:extLst>
            </c:dLbl>
            <c:dLbl>
              <c:idx val="6"/>
              <c:layout>
                <c:manualLayout>
                  <c:x val="1.4026827858792407E-2"/>
                  <c:y val="4.09683498529340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10C-4DDD-BD33-06A8ECC3BDFE}"/>
                </c:ext>
              </c:extLst>
            </c:dLbl>
            <c:dLbl>
              <c:idx val="7"/>
              <c:layout>
                <c:manualLayout>
                  <c:x val="1.0789867583686547E-2"/>
                  <c:y val="-4.09683498529340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10C-4DDD-BD33-06A8ECC3BDFE}"/>
                </c:ext>
              </c:extLst>
            </c:dLbl>
            <c:dLbl>
              <c:idx val="8"/>
              <c:layout>
                <c:manualLayout>
                  <c:x val="4.5390070921987619E-3"/>
                  <c:y val="-1.16279069767441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10C-4DDD-BD33-06A8ECC3BDFE}"/>
                </c:ext>
              </c:extLst>
            </c:dLbl>
            <c:dLbl>
              <c:idx val="9"/>
              <c:layout>
                <c:manualLayout>
                  <c:x val="1.13475177304964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E10C-4DDD-BD33-06A8ECC3BDFE}"/>
                </c:ext>
              </c:extLst>
            </c:dLbl>
            <c:dLbl>
              <c:idx val="10"/>
              <c:layout>
                <c:manualLayout>
                  <c:x val="6.4568200161420524E-3"/>
                  <c:y val="-3.22841000807103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318-43EE-B3F1-B80648AFB5C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FORM!$C$3:$N$3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FORM!$C$45:$N$45</c:f>
              <c:numCache>
                <c:formatCode>#,##0</c:formatCode>
                <c:ptCount val="12"/>
                <c:pt idx="0">
                  <c:v>405240</c:v>
                </c:pt>
                <c:pt idx="1">
                  <c:v>382840</c:v>
                </c:pt>
                <c:pt idx="2">
                  <c:v>437290.01</c:v>
                </c:pt>
                <c:pt idx="3">
                  <c:v>452979.99</c:v>
                </c:pt>
                <c:pt idx="4">
                  <c:v>513380</c:v>
                </c:pt>
                <c:pt idx="5">
                  <c:v>485940.01</c:v>
                </c:pt>
                <c:pt idx="6">
                  <c:v>532980.03</c:v>
                </c:pt>
                <c:pt idx="7">
                  <c:v>474860</c:v>
                </c:pt>
                <c:pt idx="8">
                  <c:v>485100</c:v>
                </c:pt>
                <c:pt idx="9">
                  <c:v>472620</c:v>
                </c:pt>
                <c:pt idx="10">
                  <c:v>436300</c:v>
                </c:pt>
                <c:pt idx="11">
                  <c:v>479600.01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E10C-4DDD-BD33-06A8ECC3BD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117744768"/>
        <c:axId val="117746304"/>
        <c:axId val="0"/>
      </c:bar3DChart>
      <c:catAx>
        <c:axId val="117744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17746304"/>
        <c:crosses val="autoZero"/>
        <c:auto val="1"/>
        <c:lblAlgn val="ctr"/>
        <c:lblOffset val="100"/>
        <c:noMultiLvlLbl val="0"/>
      </c:catAx>
      <c:valAx>
        <c:axId val="117746304"/>
        <c:scaling>
          <c:orientation val="minMax"/>
          <c:min val="2000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1774476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egendEntry>
        <c:idx val="0"/>
        <c:txPr>
          <a:bodyPr/>
          <a:lstStyle/>
          <a:p>
            <a:pPr>
              <a:defRPr sz="1000" b="1" i="0" u="none" strike="noStrike" baseline="0">
                <a:solidFill>
                  <a:srgbClr val="FF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</c:legendEntry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1255" l="0.70000000000000062" r="0.70000000000000062" t="0.75000000000001255" header="0.30000000000000032" footer="0.30000000000000032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400"/>
              <a:t>FORM 2019-2018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FORM!$B$46</c:f>
              <c:strCache>
                <c:ptCount val="1"/>
                <c:pt idx="0">
                  <c:v>TOTAL MENSUAL 2018</c:v>
                </c:pt>
              </c:strCache>
            </c:strRef>
          </c:tx>
          <c:spPr>
            <a:ln>
              <a:solidFill>
                <a:schemeClr val="accent6">
                  <a:lumMod val="60000"/>
                  <a:lumOff val="40000"/>
                </a:schemeClr>
              </a:solidFill>
            </a:ln>
          </c:spPr>
          <c:marker>
            <c:spPr>
              <a:solidFill>
                <a:schemeClr val="accent6">
                  <a:lumMod val="60000"/>
                  <a:lumOff val="40000"/>
                </a:schemeClr>
              </a:solidFill>
            </c:spPr>
          </c:marker>
          <c:dLbls>
            <c:dLbl>
              <c:idx val="0"/>
              <c:layout>
                <c:manualLayout>
                  <c:x val="0"/>
                  <c:y val="1.63498875945227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5BB-4086-84FD-33181D7B1DB4}"/>
                </c:ext>
              </c:extLst>
            </c:dLbl>
            <c:dLbl>
              <c:idx val="1"/>
              <c:layout>
                <c:manualLayout>
                  <c:x val="-3.8314176245210752E-3"/>
                  <c:y val="3.09050880064967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5BB-4086-84FD-33181D7B1DB4}"/>
                </c:ext>
              </c:extLst>
            </c:dLbl>
            <c:dLbl>
              <c:idx val="2"/>
              <c:layout>
                <c:manualLayout>
                  <c:x val="-3.8314176245210752E-3"/>
                  <c:y val="1.76600502894267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5BB-4086-84FD-33181D7B1DB4}"/>
                </c:ext>
              </c:extLst>
            </c:dLbl>
            <c:dLbl>
              <c:idx val="3"/>
              <c:layout>
                <c:manualLayout>
                  <c:x val="-4.5274476513865311E-3"/>
                  <c:y val="-1.96656833824977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5BB-4086-84FD-33181D7B1DB4}"/>
                </c:ext>
              </c:extLst>
            </c:dLbl>
            <c:dLbl>
              <c:idx val="4"/>
              <c:layout>
                <c:manualLayout>
                  <c:x val="-2.3922990859386543E-2"/>
                  <c:y val="-3.01574507740944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5BB-4086-84FD-33181D7B1DB4}"/>
                </c:ext>
              </c:extLst>
            </c:dLbl>
            <c:dLbl>
              <c:idx val="5"/>
              <c:layout>
                <c:manualLayout>
                  <c:x val="-8.5790884718500021E-3"/>
                  <c:y val="-1.20522250431950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5BB-4086-84FD-33181D7B1DB4}"/>
                </c:ext>
              </c:extLst>
            </c:dLbl>
            <c:dLbl>
              <c:idx val="8"/>
              <c:layout>
                <c:manualLayout>
                  <c:x val="-2.1470746108427333E-3"/>
                  <c:y val="3.22366356565945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5BB-4086-84FD-33181D7B1DB4}"/>
                </c:ext>
              </c:extLst>
            </c:dLbl>
            <c:dLbl>
              <c:idx val="9"/>
              <c:layout>
                <c:manualLayout>
                  <c:x val="-1.1318619128466341E-3"/>
                  <c:y val="-1.96656833824977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5BB-4086-84FD-33181D7B1DB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FORM!$C$3:$N$3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FORM!$C$46:$N$46</c:f>
              <c:numCache>
                <c:formatCode>#,##0</c:formatCode>
                <c:ptCount val="12"/>
                <c:pt idx="0">
                  <c:v>441840</c:v>
                </c:pt>
                <c:pt idx="1">
                  <c:v>373740.01</c:v>
                </c:pt>
                <c:pt idx="2">
                  <c:v>483000</c:v>
                </c:pt>
                <c:pt idx="3">
                  <c:v>516380</c:v>
                </c:pt>
                <c:pt idx="4">
                  <c:v>545080.01</c:v>
                </c:pt>
                <c:pt idx="5">
                  <c:v>526860</c:v>
                </c:pt>
                <c:pt idx="6">
                  <c:v>519200</c:v>
                </c:pt>
                <c:pt idx="7">
                  <c:v>484920.00000000006</c:v>
                </c:pt>
                <c:pt idx="8">
                  <c:v>466960</c:v>
                </c:pt>
                <c:pt idx="9">
                  <c:v>461940</c:v>
                </c:pt>
                <c:pt idx="10">
                  <c:v>434380.00000000006</c:v>
                </c:pt>
                <c:pt idx="11">
                  <c:v>455420.01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75BB-4086-84FD-33181D7B1DB4}"/>
            </c:ext>
          </c:extLst>
        </c:ser>
        <c:ser>
          <c:idx val="41"/>
          <c:order val="1"/>
          <c:tx>
            <c:strRef>
              <c:f>FORM!$B$1</c:f>
              <c:strCache>
                <c:ptCount val="1"/>
                <c:pt idx="0">
                  <c:v>ORGÀNICA - 2019</c:v>
                </c:pt>
              </c:strCache>
            </c:strRef>
          </c:tx>
          <c:spPr>
            <a:ln>
              <a:solidFill>
                <a:schemeClr val="accent6">
                  <a:lumMod val="50000"/>
                </a:schemeClr>
              </a:solidFill>
            </a:ln>
          </c:spPr>
          <c:marker>
            <c:spPr>
              <a:solidFill>
                <a:schemeClr val="accent6">
                  <a:lumMod val="50000"/>
                </a:schemeClr>
              </a:solidFill>
            </c:spPr>
          </c:marker>
          <c:dLbls>
            <c:dLbl>
              <c:idx val="0"/>
              <c:layout>
                <c:manualLayout>
                  <c:x val="0"/>
                  <c:y val="-2.04373594931539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5BB-4086-84FD-33181D7B1DB4}"/>
                </c:ext>
              </c:extLst>
            </c:dLbl>
            <c:dLbl>
              <c:idx val="1"/>
              <c:layout>
                <c:manualLayout>
                  <c:x val="-1.277139208173691E-3"/>
                  <c:y val="-2.64900754341400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5BB-4086-84FD-33181D7B1DB4}"/>
                </c:ext>
              </c:extLst>
            </c:dLbl>
            <c:dLbl>
              <c:idx val="2"/>
              <c:layout>
                <c:manualLayout>
                  <c:x val="-3.8313971364784842E-3"/>
                  <c:y val="3.69219334308875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5BB-4086-84FD-33181D7B1DB4}"/>
                </c:ext>
              </c:extLst>
            </c:dLbl>
            <c:dLbl>
              <c:idx val="4"/>
              <c:layout>
                <c:manualLayout>
                  <c:x val="0"/>
                  <c:y val="-2.75319567354966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5BB-4086-84FD-33181D7B1DB4}"/>
                </c:ext>
              </c:extLst>
            </c:dLbl>
            <c:dLbl>
              <c:idx val="5"/>
              <c:layout>
                <c:manualLayout>
                  <c:x val="-9.6514745308311067E-3"/>
                  <c:y val="4.88830023136476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5BB-4086-84FD-33181D7B1DB4}"/>
                </c:ext>
              </c:extLst>
            </c:dLbl>
            <c:dLbl>
              <c:idx val="6"/>
              <c:layout>
                <c:manualLayout>
                  <c:x val="-2.3062455357330727E-3"/>
                  <c:y val="-2.23436662691842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75BB-4086-84FD-33181D7B1DB4}"/>
                </c:ext>
              </c:extLst>
            </c:dLbl>
            <c:dLbl>
              <c:idx val="7"/>
              <c:layout>
                <c:manualLayout>
                  <c:x val="-8.6109889949696726E-3"/>
                  <c:y val="4.14663954046091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5BB-4086-84FD-33181D7B1DB4}"/>
                </c:ext>
              </c:extLst>
            </c:dLbl>
            <c:dLbl>
              <c:idx val="8"/>
              <c:layout>
                <c:manualLayout>
                  <c:x val="-3.2247539105921029E-3"/>
                  <c:y val="1.63498875945228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75BB-4086-84FD-33181D7B1DB4}"/>
                </c:ext>
              </c:extLst>
            </c:dLbl>
            <c:dLbl>
              <c:idx val="9"/>
              <c:layout>
                <c:manualLayout>
                  <c:x val="-2.5764895330112694E-2"/>
                  <c:y val="-2.15178038367521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75BB-4086-84FD-33181D7B1DB4}"/>
                </c:ext>
              </c:extLst>
            </c:dLbl>
            <c:dLbl>
              <c:idx val="10"/>
              <c:layout>
                <c:manualLayout>
                  <c:x val="-7.5147611379495502E-3"/>
                  <c:y val="-2.45248313917841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30B-478F-97C2-679AAAB4694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FORM!$C$3:$N$3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FORM!$C$45:$N$45</c:f>
              <c:numCache>
                <c:formatCode>#,##0</c:formatCode>
                <c:ptCount val="12"/>
                <c:pt idx="0">
                  <c:v>405240</c:v>
                </c:pt>
                <c:pt idx="1">
                  <c:v>382840</c:v>
                </c:pt>
                <c:pt idx="2">
                  <c:v>437290.01</c:v>
                </c:pt>
                <c:pt idx="3">
                  <c:v>452979.99</c:v>
                </c:pt>
                <c:pt idx="4">
                  <c:v>513380</c:v>
                </c:pt>
                <c:pt idx="5">
                  <c:v>485940.01</c:v>
                </c:pt>
                <c:pt idx="6">
                  <c:v>532980.03</c:v>
                </c:pt>
                <c:pt idx="7">
                  <c:v>474860</c:v>
                </c:pt>
                <c:pt idx="8">
                  <c:v>485100</c:v>
                </c:pt>
                <c:pt idx="9">
                  <c:v>472620</c:v>
                </c:pt>
                <c:pt idx="10">
                  <c:v>436300</c:v>
                </c:pt>
                <c:pt idx="11">
                  <c:v>479600.01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75BB-4086-84FD-33181D7B1D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929600"/>
        <c:axId val="107931136"/>
      </c:lineChart>
      <c:catAx>
        <c:axId val="107929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07931136"/>
        <c:crosses val="autoZero"/>
        <c:auto val="1"/>
        <c:lblAlgn val="ctr"/>
        <c:lblOffset val="100"/>
        <c:noMultiLvlLbl val="0"/>
      </c:catAx>
      <c:valAx>
        <c:axId val="107931136"/>
        <c:scaling>
          <c:orientation val="minMax"/>
          <c:min val="2500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07929600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1000" b="1" i="0" u="none" strike="noStrike" baseline="0">
                <a:solidFill>
                  <a:srgbClr val="FF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</c:legendEntry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600"/>
              <a:t>Paper i Cartró 2019-2018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'PAPER I CARTRÓ'!$B$47</c:f>
              <c:strCache>
                <c:ptCount val="1"/>
                <c:pt idx="0">
                  <c:v>TOTAL MENSUAL 2018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2.3408964800776965E-17"/>
                  <c:y val="-3.97350993377483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590-4927-8984-8955055C6FCE}"/>
                </c:ext>
              </c:extLst>
            </c:dLbl>
            <c:dLbl>
              <c:idx val="3"/>
              <c:layout>
                <c:manualLayout>
                  <c:x val="0"/>
                  <c:y val="-2.64900662251656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590-4927-8984-8955055C6FCE}"/>
                </c:ext>
              </c:extLst>
            </c:dLbl>
            <c:dLbl>
              <c:idx val="5"/>
              <c:layout>
                <c:manualLayout>
                  <c:x val="1.277139208173689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590-4927-8984-8955055C6FCE}"/>
                </c:ext>
              </c:extLst>
            </c:dLbl>
            <c:dLbl>
              <c:idx val="8"/>
              <c:layout>
                <c:manualLayout>
                  <c:x val="-1.117630623079064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590-4927-8984-8955055C6FCE}"/>
                </c:ext>
              </c:extLst>
            </c:dLbl>
            <c:dLbl>
              <c:idx val="11"/>
              <c:layout>
                <c:manualLayout>
                  <c:x val="-1.7888402601741391E-2"/>
                  <c:y val="4.385964912280701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590-4927-8984-8955055C6FC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'PAPER I CARTRÓ'!$C$4:$N$4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'PAPER I CARTRÓ'!$C$47:$N$47</c:f>
              <c:numCache>
                <c:formatCode>#,##0</c:formatCode>
                <c:ptCount val="12"/>
                <c:pt idx="0">
                  <c:v>428940.28999999992</c:v>
                </c:pt>
                <c:pt idx="1">
                  <c:v>316459.99999999988</c:v>
                </c:pt>
                <c:pt idx="2">
                  <c:v>388541.76999999996</c:v>
                </c:pt>
                <c:pt idx="3">
                  <c:v>382269.97999999986</c:v>
                </c:pt>
                <c:pt idx="4">
                  <c:v>424968.31999999995</c:v>
                </c:pt>
                <c:pt idx="5">
                  <c:v>420061.56999999989</c:v>
                </c:pt>
                <c:pt idx="6">
                  <c:v>468469.92999999993</c:v>
                </c:pt>
                <c:pt idx="7">
                  <c:v>424207.91000000003</c:v>
                </c:pt>
                <c:pt idx="8">
                  <c:v>433149.97000000003</c:v>
                </c:pt>
                <c:pt idx="9">
                  <c:v>469174.91000000003</c:v>
                </c:pt>
                <c:pt idx="10">
                  <c:v>440119.99000000005</c:v>
                </c:pt>
                <c:pt idx="11">
                  <c:v>473719.94000000012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590-4927-8984-8955055C6FCE}"/>
            </c:ext>
          </c:extLst>
        </c:ser>
        <c:ser>
          <c:idx val="41"/>
          <c:order val="1"/>
          <c:tx>
            <c:strRef>
              <c:f>'PAPER I CARTRÓ'!$B$46</c:f>
              <c:strCache>
                <c:ptCount val="1"/>
                <c:pt idx="0">
                  <c:v>TOTAL MENSUAL 2019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1174224460430161E-2"/>
                  <c:y val="-8.771929824561366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590-4927-8984-8955055C6FCE}"/>
                </c:ext>
              </c:extLst>
            </c:dLbl>
            <c:dLbl>
              <c:idx val="1"/>
              <c:layout>
                <c:manualLayout>
                  <c:x val="6.372470925601411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590-4927-8984-8955055C6FCE}"/>
                </c:ext>
              </c:extLst>
            </c:dLbl>
            <c:dLbl>
              <c:idx val="3"/>
              <c:layout>
                <c:manualLayout>
                  <c:x val="1.2508523643846903E-2"/>
                  <c:y val="-1.32449233319518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590-4927-8984-8955055C6FCE}"/>
                </c:ext>
              </c:extLst>
            </c:dLbl>
            <c:dLbl>
              <c:idx val="5"/>
              <c:layout>
                <c:manualLayout>
                  <c:x val="4.9427906103432133E-3"/>
                  <c:y val="-3.07307639176681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590-4927-8984-8955055C6FCE}"/>
                </c:ext>
              </c:extLst>
            </c:dLbl>
            <c:dLbl>
              <c:idx val="6"/>
              <c:layout>
                <c:manualLayout>
                  <c:x val="8.9442013008706953E-3"/>
                  <c:y val="-4.38596491228066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590-4927-8984-8955055C6FCE}"/>
                </c:ext>
              </c:extLst>
            </c:dLbl>
            <c:dLbl>
              <c:idx val="9"/>
              <c:layout>
                <c:manualLayout>
                  <c:x val="1.8996181582731243E-2"/>
                  <c:y val="4.38596491228066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590-4927-8984-8955055C6FC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'PAPER I CARTRÓ'!$C$4:$N$4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'PAPER I CARTRÓ'!$C$46:$N$46</c:f>
              <c:numCache>
                <c:formatCode>#,##0</c:formatCode>
                <c:ptCount val="12"/>
                <c:pt idx="0">
                  <c:v>462880.01</c:v>
                </c:pt>
                <c:pt idx="1">
                  <c:v>369379.99999999994</c:v>
                </c:pt>
                <c:pt idx="2">
                  <c:v>408280.00000000012</c:v>
                </c:pt>
                <c:pt idx="3">
                  <c:v>451329.96</c:v>
                </c:pt>
                <c:pt idx="4">
                  <c:v>478719.99000000017</c:v>
                </c:pt>
                <c:pt idx="5">
                  <c:v>468610.00999999995</c:v>
                </c:pt>
                <c:pt idx="6">
                  <c:v>546079.96</c:v>
                </c:pt>
                <c:pt idx="7">
                  <c:v>473560.00999999995</c:v>
                </c:pt>
                <c:pt idx="8">
                  <c:v>511110</c:v>
                </c:pt>
                <c:pt idx="9">
                  <c:v>539325.00999999978</c:v>
                </c:pt>
                <c:pt idx="10">
                  <c:v>500540.00999999978</c:v>
                </c:pt>
                <c:pt idx="11">
                  <c:v>619179.56999999983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8590-4927-8984-8955055C6F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111175936"/>
        <c:axId val="111194112"/>
        <c:axId val="0"/>
      </c:bar3DChart>
      <c:catAx>
        <c:axId val="111175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11194112"/>
        <c:crosses val="autoZero"/>
        <c:auto val="1"/>
        <c:lblAlgn val="ctr"/>
        <c:lblOffset val="100"/>
        <c:noMultiLvlLbl val="0"/>
      </c:catAx>
      <c:valAx>
        <c:axId val="111194112"/>
        <c:scaling>
          <c:orientation val="minMax"/>
          <c:min val="2000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1117593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egendEntry>
        <c:idx val="0"/>
        <c:txPr>
          <a:bodyPr/>
          <a:lstStyle/>
          <a:p>
            <a:pPr>
              <a:defRPr sz="1000" b="1" i="0" u="none" strike="noStrike" baseline="0">
                <a:solidFill>
                  <a:srgbClr val="FF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</c:legendEntry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121" l="0.70000000000000062" r="0.70000000000000062" t="0.7500000000000121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400"/>
              <a:t>Paper i Cartró 2019-2018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'PAPER I CARTRÓ'!$B$47</c:f>
              <c:strCache>
                <c:ptCount val="1"/>
                <c:pt idx="0">
                  <c:v>TOTAL MENSUAL 2018</c:v>
                </c:pt>
              </c:strCache>
            </c:strRef>
          </c:tx>
          <c:spPr>
            <a:ln>
              <a:solidFill>
                <a:schemeClr val="accent1">
                  <a:lumMod val="40000"/>
                  <a:lumOff val="60000"/>
                </a:schemeClr>
              </a:solidFill>
            </a:ln>
          </c:spPr>
          <c:marker>
            <c:spPr>
              <a:solidFill>
                <a:schemeClr val="accent1">
                  <a:lumMod val="40000"/>
                  <a:lumOff val="60000"/>
                </a:schemeClr>
              </a:solidFill>
            </c:spPr>
          </c:marker>
          <c:dLbls>
            <c:dLbl>
              <c:idx val="0"/>
              <c:layout>
                <c:manualLayout>
                  <c:x val="-1.9900497512438286E-2"/>
                  <c:y val="6.59340659340659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D3E-4E12-A8D7-8591B5134BCB}"/>
                </c:ext>
              </c:extLst>
            </c:dLbl>
            <c:dLbl>
              <c:idx val="1"/>
              <c:layout>
                <c:manualLayout>
                  <c:x val="0"/>
                  <c:y val="-7.3170738733506734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D3E-4E12-A8D7-8591B5134BCB}"/>
                </c:ext>
              </c:extLst>
            </c:dLbl>
            <c:dLbl>
              <c:idx val="3"/>
              <c:layout>
                <c:manualLayout>
                  <c:x val="-1.1049723756906141E-3"/>
                  <c:y val="-2.56097585567274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D3E-4E12-A8D7-8591B5134BCB}"/>
                </c:ext>
              </c:extLst>
            </c:dLbl>
            <c:dLbl>
              <c:idx val="5"/>
              <c:layout>
                <c:manualLayout>
                  <c:x val="3.3149171270718232E-3"/>
                  <c:y val="3.29268324300780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D3E-4E12-A8D7-8591B5134BC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'PAPER I CARTRÓ'!$C$4:$N$4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'PAPER I CARTRÓ'!$C$47:$N$47</c:f>
              <c:numCache>
                <c:formatCode>#,##0</c:formatCode>
                <c:ptCount val="12"/>
                <c:pt idx="0">
                  <c:v>428940.28999999992</c:v>
                </c:pt>
                <c:pt idx="1">
                  <c:v>316459.99999999988</c:v>
                </c:pt>
                <c:pt idx="2">
                  <c:v>388541.76999999996</c:v>
                </c:pt>
                <c:pt idx="3">
                  <c:v>382269.97999999986</c:v>
                </c:pt>
                <c:pt idx="4">
                  <c:v>424968.31999999995</c:v>
                </c:pt>
                <c:pt idx="5">
                  <c:v>420061.56999999989</c:v>
                </c:pt>
                <c:pt idx="6">
                  <c:v>468469.92999999993</c:v>
                </c:pt>
                <c:pt idx="7">
                  <c:v>424207.91000000003</c:v>
                </c:pt>
                <c:pt idx="8">
                  <c:v>433149.97000000003</c:v>
                </c:pt>
                <c:pt idx="9">
                  <c:v>469174.91000000003</c:v>
                </c:pt>
                <c:pt idx="10">
                  <c:v>440119.99000000005</c:v>
                </c:pt>
                <c:pt idx="11">
                  <c:v>473719.94000000012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D3E-4E12-A8D7-8591B5134BCB}"/>
            </c:ext>
          </c:extLst>
        </c:ser>
        <c:ser>
          <c:idx val="41"/>
          <c:order val="1"/>
          <c:tx>
            <c:strRef>
              <c:f>'PAPER I CARTRÓ'!$B$46</c:f>
              <c:strCache>
                <c:ptCount val="1"/>
                <c:pt idx="0">
                  <c:v>TOTAL MENSUAL 2019</c:v>
                </c:pt>
              </c:strCache>
            </c:strRef>
          </c:tx>
          <c:spPr>
            <a:ln>
              <a:solidFill>
                <a:schemeClr val="accent1">
                  <a:lumMod val="75000"/>
                </a:schemeClr>
              </a:solidFill>
            </a:ln>
          </c:spPr>
          <c:marker>
            <c:spPr>
              <a:solidFill>
                <a:schemeClr val="accent1">
                  <a:lumMod val="75000"/>
                </a:schemeClr>
              </a:solidFill>
            </c:spPr>
          </c:marker>
          <c:dLbls>
            <c:dLbl>
              <c:idx val="0"/>
              <c:layout>
                <c:manualLayout>
                  <c:x val="0"/>
                  <c:y val="-4.39560439560441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D3E-4E12-A8D7-8591B5134BCB}"/>
                </c:ext>
              </c:extLst>
            </c:dLbl>
            <c:dLbl>
              <c:idx val="1"/>
              <c:layout>
                <c:manualLayout>
                  <c:x val="-1.4716703458425295E-2"/>
                  <c:y val="-8.9272779689724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D3E-4E12-A8D7-8591B5134BCB}"/>
                </c:ext>
              </c:extLst>
            </c:dLbl>
            <c:dLbl>
              <c:idx val="2"/>
              <c:layout>
                <c:manualLayout>
                  <c:x val="0"/>
                  <c:y val="-4.02930402930403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D3E-4E12-A8D7-8591B5134BCB}"/>
                </c:ext>
              </c:extLst>
            </c:dLbl>
            <c:dLbl>
              <c:idx val="3"/>
              <c:layout>
                <c:manualLayout>
                  <c:x val="3.2667568156281605E-3"/>
                  <c:y val="4.02930402930403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D3E-4E12-A8D7-8591B5134BCB}"/>
                </c:ext>
              </c:extLst>
            </c:dLbl>
            <c:dLbl>
              <c:idx val="5"/>
              <c:layout>
                <c:manualLayout>
                  <c:x val="0"/>
                  <c:y val="-3.29670329670330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D3E-4E12-A8D7-8591B5134BCB}"/>
                </c:ext>
              </c:extLst>
            </c:dLbl>
            <c:dLbl>
              <c:idx val="6"/>
              <c:layout>
                <c:manualLayout>
                  <c:x val="-3.3179078196381826E-3"/>
                  <c:y val="-3.29670329670329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D3E-4E12-A8D7-8591B5134BCB}"/>
                </c:ext>
              </c:extLst>
            </c:dLbl>
            <c:dLbl>
              <c:idx val="9"/>
              <c:layout>
                <c:manualLayout>
                  <c:x val="-7.7390823659482305E-3"/>
                  <c:y val="-3.29670329670329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D3E-4E12-A8D7-8591B5134BCB}"/>
                </c:ext>
              </c:extLst>
            </c:dLbl>
            <c:dLbl>
              <c:idx val="11"/>
              <c:layout>
                <c:manualLayout>
                  <c:x val="-1.1059692732127274E-3"/>
                  <c:y val="-4.02930402930403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D3E-4E12-A8D7-8591B5134BC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'PAPER I CARTRÓ'!$C$4:$N$4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'PAPER I CARTRÓ'!$C$46:$N$46</c:f>
              <c:numCache>
                <c:formatCode>#,##0</c:formatCode>
                <c:ptCount val="12"/>
                <c:pt idx="0">
                  <c:v>462880.01</c:v>
                </c:pt>
                <c:pt idx="1">
                  <c:v>369379.99999999994</c:v>
                </c:pt>
                <c:pt idx="2">
                  <c:v>408280.00000000012</c:v>
                </c:pt>
                <c:pt idx="3">
                  <c:v>451329.96</c:v>
                </c:pt>
                <c:pt idx="4">
                  <c:v>478719.99000000017</c:v>
                </c:pt>
                <c:pt idx="5">
                  <c:v>468610.00999999995</c:v>
                </c:pt>
                <c:pt idx="6">
                  <c:v>546079.96</c:v>
                </c:pt>
                <c:pt idx="7">
                  <c:v>473560.00999999995</c:v>
                </c:pt>
                <c:pt idx="8">
                  <c:v>511110</c:v>
                </c:pt>
                <c:pt idx="9">
                  <c:v>539325.00999999978</c:v>
                </c:pt>
                <c:pt idx="10">
                  <c:v>500540.00999999978</c:v>
                </c:pt>
                <c:pt idx="11">
                  <c:v>619179.56999999983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4D3E-4E12-A8D7-8591B5134B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271936"/>
        <c:axId val="111273472"/>
      </c:lineChart>
      <c:catAx>
        <c:axId val="111271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11273472"/>
        <c:crosses val="autoZero"/>
        <c:auto val="1"/>
        <c:lblAlgn val="ctr"/>
        <c:lblOffset val="100"/>
        <c:noMultiLvlLbl val="0"/>
      </c:catAx>
      <c:valAx>
        <c:axId val="111273472"/>
        <c:scaling>
          <c:orientation val="minMax"/>
          <c:min val="2000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11271936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900" b="1" i="0" u="none" strike="noStrike" baseline="0">
                <a:solidFill>
                  <a:srgbClr val="FF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</c:legendEntry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1232" l="0.70000000000000062" r="0.70000000000000062" t="0.7500000000000123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600"/>
              <a:t>Paper i Cartró. Porta a porta,</a:t>
            </a:r>
            <a:r>
              <a:rPr lang="es-ES" sz="1600" baseline="0"/>
              <a:t> Mercat i Papereres.</a:t>
            </a:r>
            <a:r>
              <a:rPr lang="es-ES" sz="1600"/>
              <a:t> 2019-2018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'PAPER I CARTRÓ PORTA A PORTA'!$B$47</c:f>
              <c:strCache>
                <c:ptCount val="1"/>
                <c:pt idx="0">
                  <c:v>TOTAL MENSUAL 2018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2.3408964800777005E-17"/>
                  <c:y val="-3.97350993377483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AA3-4193-9D5A-221E3183EADB}"/>
                </c:ext>
              </c:extLst>
            </c:dLbl>
            <c:dLbl>
              <c:idx val="3"/>
              <c:layout>
                <c:manualLayout>
                  <c:x val="0"/>
                  <c:y val="-2.64900662251656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AA3-4193-9D5A-221E3183EADB}"/>
                </c:ext>
              </c:extLst>
            </c:dLbl>
            <c:dLbl>
              <c:idx val="5"/>
              <c:layout>
                <c:manualLayout>
                  <c:x val="1.277139208173689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AA3-4193-9D5A-221E3183EADB}"/>
                </c:ext>
              </c:extLst>
            </c:dLbl>
            <c:dLbl>
              <c:idx val="8"/>
              <c:layout>
                <c:manualLayout>
                  <c:x val="-1.117630623079064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AA3-4193-9D5A-221E3183EADB}"/>
                </c:ext>
              </c:extLst>
            </c:dLbl>
            <c:dLbl>
              <c:idx val="11"/>
              <c:layout>
                <c:manualLayout>
                  <c:x val="-1.7888402601741391E-2"/>
                  <c:y val="4.385964912280701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AA3-4193-9D5A-221E3183EAD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'PAPER I CARTRÓ PORTA A PORTA'!$C$4:$N$4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'PAPER I CARTRÓ PORTA A PORTA'!$C$47:$N$47</c:f>
              <c:numCache>
                <c:formatCode>#,##0</c:formatCode>
                <c:ptCount val="12"/>
                <c:pt idx="0">
                  <c:v>71860</c:v>
                </c:pt>
                <c:pt idx="1">
                  <c:v>59420</c:v>
                </c:pt>
                <c:pt idx="2">
                  <c:v>80440</c:v>
                </c:pt>
                <c:pt idx="3">
                  <c:v>67800</c:v>
                </c:pt>
                <c:pt idx="4">
                  <c:v>71066.67</c:v>
                </c:pt>
                <c:pt idx="5">
                  <c:v>84208.42</c:v>
                </c:pt>
                <c:pt idx="6">
                  <c:v>79242.850000000006</c:v>
                </c:pt>
                <c:pt idx="7">
                  <c:v>67563.08</c:v>
                </c:pt>
                <c:pt idx="8">
                  <c:v>81360</c:v>
                </c:pt>
                <c:pt idx="9">
                  <c:v>90045.09</c:v>
                </c:pt>
                <c:pt idx="10">
                  <c:v>96020</c:v>
                </c:pt>
                <c:pt idx="11">
                  <c:v>98430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AA3-4193-9D5A-221E3183EADB}"/>
            </c:ext>
          </c:extLst>
        </c:ser>
        <c:ser>
          <c:idx val="41"/>
          <c:order val="1"/>
          <c:tx>
            <c:strRef>
              <c:f>'PAPER I CARTRÓ PORTA A PORTA'!$B$46</c:f>
              <c:strCache>
                <c:ptCount val="1"/>
                <c:pt idx="0">
                  <c:v>TOTAL MENSUAL 2019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1174224460430161E-2"/>
                  <c:y val="-8.771929824561366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AA3-4193-9D5A-221E3183EADB}"/>
                </c:ext>
              </c:extLst>
            </c:dLbl>
            <c:dLbl>
              <c:idx val="1"/>
              <c:layout>
                <c:manualLayout>
                  <c:x val="6.372470925601411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AA3-4193-9D5A-221E3183EADB}"/>
                </c:ext>
              </c:extLst>
            </c:dLbl>
            <c:dLbl>
              <c:idx val="3"/>
              <c:layout>
                <c:manualLayout>
                  <c:x val="1.2508523643846903E-2"/>
                  <c:y val="-1.32449233319518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AA3-4193-9D5A-221E3183EADB}"/>
                </c:ext>
              </c:extLst>
            </c:dLbl>
            <c:dLbl>
              <c:idx val="5"/>
              <c:layout>
                <c:manualLayout>
                  <c:x val="4.9427906103432133E-3"/>
                  <c:y val="-3.07307639176681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AA3-4193-9D5A-221E3183EADB}"/>
                </c:ext>
              </c:extLst>
            </c:dLbl>
            <c:dLbl>
              <c:idx val="6"/>
              <c:layout>
                <c:manualLayout>
                  <c:x val="8.9442013008706953E-3"/>
                  <c:y val="-4.38596491228066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AA3-4193-9D5A-221E3183EADB}"/>
                </c:ext>
              </c:extLst>
            </c:dLbl>
            <c:dLbl>
              <c:idx val="9"/>
              <c:layout>
                <c:manualLayout>
                  <c:x val="1.8996181582731243E-2"/>
                  <c:y val="4.38596491228066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AA3-4193-9D5A-221E3183EAD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'PAPER I CARTRÓ PORTA A PORTA'!$C$4:$N$4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'PAPER I CARTRÓ PORTA A PORTA'!$C$46:$N$46</c:f>
              <c:numCache>
                <c:formatCode>#,##0</c:formatCode>
                <c:ptCount val="12"/>
                <c:pt idx="0">
                  <c:v>103820</c:v>
                </c:pt>
                <c:pt idx="1">
                  <c:v>90610</c:v>
                </c:pt>
                <c:pt idx="2">
                  <c:v>106300</c:v>
                </c:pt>
                <c:pt idx="3">
                  <c:v>100890</c:v>
                </c:pt>
                <c:pt idx="4">
                  <c:v>133260</c:v>
                </c:pt>
                <c:pt idx="5">
                  <c:v>111540</c:v>
                </c:pt>
                <c:pt idx="6">
                  <c:v>138406</c:v>
                </c:pt>
                <c:pt idx="7">
                  <c:v>99960</c:v>
                </c:pt>
                <c:pt idx="8">
                  <c:v>130040</c:v>
                </c:pt>
                <c:pt idx="9">
                  <c:v>138815</c:v>
                </c:pt>
                <c:pt idx="10">
                  <c:v>129980</c:v>
                </c:pt>
                <c:pt idx="11">
                  <c:v>138300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4AA3-4193-9D5A-221E3183EA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107825024"/>
        <c:axId val="107826560"/>
        <c:axId val="0"/>
      </c:bar3DChart>
      <c:catAx>
        <c:axId val="107825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07826560"/>
        <c:crosses val="autoZero"/>
        <c:auto val="1"/>
        <c:lblAlgn val="ctr"/>
        <c:lblOffset val="100"/>
        <c:noMultiLvlLbl val="0"/>
      </c:catAx>
      <c:valAx>
        <c:axId val="10782656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0782502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egendEntry>
        <c:idx val="0"/>
        <c:txPr>
          <a:bodyPr/>
          <a:lstStyle/>
          <a:p>
            <a:pPr>
              <a:defRPr sz="1000" b="1" i="0" u="none" strike="noStrike" baseline="0">
                <a:solidFill>
                  <a:srgbClr val="FF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</c:legendEntry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1232" l="0.70000000000000062" r="0.70000000000000062" t="0.75000000000001232" header="0.30000000000000032" footer="0.30000000000000032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400"/>
              <a:t>Paper i Cartró.Porta a porta, Mercat i Papereres. 2019-2018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'PAPER I CARTRÓ PORTA A PORTA'!$B$47</c:f>
              <c:strCache>
                <c:ptCount val="1"/>
                <c:pt idx="0">
                  <c:v>TOTAL MENSUAL 2018</c:v>
                </c:pt>
              </c:strCache>
            </c:strRef>
          </c:tx>
          <c:spPr>
            <a:ln>
              <a:solidFill>
                <a:schemeClr val="accent1">
                  <a:lumMod val="40000"/>
                  <a:lumOff val="60000"/>
                </a:schemeClr>
              </a:solidFill>
            </a:ln>
          </c:spPr>
          <c:marker>
            <c:spPr>
              <a:solidFill>
                <a:schemeClr val="accent1">
                  <a:lumMod val="40000"/>
                  <a:lumOff val="60000"/>
                </a:schemeClr>
              </a:solidFill>
            </c:spPr>
          </c:marker>
          <c:dLbls>
            <c:dLbl>
              <c:idx val="0"/>
              <c:layout>
                <c:manualLayout>
                  <c:x val="-1.9900497512438293E-2"/>
                  <c:y val="6.59340659340659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6B9-490A-BCC5-E967701FD0CF}"/>
                </c:ext>
              </c:extLst>
            </c:dLbl>
            <c:dLbl>
              <c:idx val="1"/>
              <c:layout>
                <c:manualLayout>
                  <c:x val="0"/>
                  <c:y val="-7.3170738733506734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6B9-490A-BCC5-E967701FD0CF}"/>
                </c:ext>
              </c:extLst>
            </c:dLbl>
            <c:dLbl>
              <c:idx val="3"/>
              <c:layout>
                <c:manualLayout>
                  <c:x val="-1.1049723756906141E-3"/>
                  <c:y val="-2.56097585567274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6B9-490A-BCC5-E967701FD0CF}"/>
                </c:ext>
              </c:extLst>
            </c:dLbl>
            <c:dLbl>
              <c:idx val="5"/>
              <c:layout>
                <c:manualLayout>
                  <c:x val="3.3149171270718232E-3"/>
                  <c:y val="3.29268324300780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6B9-490A-BCC5-E967701FD0C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'PAPER I CARTRÓ PORTA A PORTA'!$C$4:$N$4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'PAPER I CARTRÓ PORTA A PORTA'!$C$47:$N$47</c:f>
              <c:numCache>
                <c:formatCode>#,##0</c:formatCode>
                <c:ptCount val="12"/>
                <c:pt idx="0">
                  <c:v>71860</c:v>
                </c:pt>
                <c:pt idx="1">
                  <c:v>59420</c:v>
                </c:pt>
                <c:pt idx="2">
                  <c:v>80440</c:v>
                </c:pt>
                <c:pt idx="3">
                  <c:v>67800</c:v>
                </c:pt>
                <c:pt idx="4">
                  <c:v>71066.67</c:v>
                </c:pt>
                <c:pt idx="5">
                  <c:v>84208.42</c:v>
                </c:pt>
                <c:pt idx="6">
                  <c:v>79242.850000000006</c:v>
                </c:pt>
                <c:pt idx="7">
                  <c:v>67563.08</c:v>
                </c:pt>
                <c:pt idx="8">
                  <c:v>81360</c:v>
                </c:pt>
                <c:pt idx="9">
                  <c:v>90045.09</c:v>
                </c:pt>
                <c:pt idx="10">
                  <c:v>96020</c:v>
                </c:pt>
                <c:pt idx="11">
                  <c:v>98430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6B9-490A-BCC5-E967701FD0CF}"/>
            </c:ext>
          </c:extLst>
        </c:ser>
        <c:ser>
          <c:idx val="41"/>
          <c:order val="1"/>
          <c:tx>
            <c:strRef>
              <c:f>'PAPER I CARTRÓ PORTA A PORTA'!$B$46</c:f>
              <c:strCache>
                <c:ptCount val="1"/>
                <c:pt idx="0">
                  <c:v>TOTAL MENSUAL 2019</c:v>
                </c:pt>
              </c:strCache>
            </c:strRef>
          </c:tx>
          <c:spPr>
            <a:ln>
              <a:solidFill>
                <a:schemeClr val="accent1">
                  <a:lumMod val="75000"/>
                </a:schemeClr>
              </a:solidFill>
            </a:ln>
          </c:spPr>
          <c:marker>
            <c:spPr>
              <a:solidFill>
                <a:schemeClr val="accent1">
                  <a:lumMod val="75000"/>
                </a:schemeClr>
              </a:solidFill>
            </c:spPr>
          </c:marker>
          <c:dLbls>
            <c:dLbl>
              <c:idx val="0"/>
              <c:layout>
                <c:manualLayout>
                  <c:x val="0"/>
                  <c:y val="-4.39560439560441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6B9-490A-BCC5-E967701FD0CF}"/>
                </c:ext>
              </c:extLst>
            </c:dLbl>
            <c:dLbl>
              <c:idx val="1"/>
              <c:layout>
                <c:manualLayout>
                  <c:x val="-1.4716703458425295E-2"/>
                  <c:y val="-8.9272779689724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6B9-490A-BCC5-E967701FD0CF}"/>
                </c:ext>
              </c:extLst>
            </c:dLbl>
            <c:dLbl>
              <c:idx val="2"/>
              <c:layout>
                <c:manualLayout>
                  <c:x val="0"/>
                  <c:y val="-4.02930402930403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6B9-490A-BCC5-E967701FD0CF}"/>
                </c:ext>
              </c:extLst>
            </c:dLbl>
            <c:dLbl>
              <c:idx val="3"/>
              <c:layout>
                <c:manualLayout>
                  <c:x val="-7.3309456495979563E-3"/>
                  <c:y val="-4.42252733775604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6B9-490A-BCC5-E967701FD0CF}"/>
                </c:ext>
              </c:extLst>
            </c:dLbl>
            <c:dLbl>
              <c:idx val="4"/>
              <c:layout>
                <c:manualLayout>
                  <c:x val="-9.5379398050021227E-3"/>
                  <c:y val="-5.23212294875719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6B9-490A-BCC5-E967701FD0CF}"/>
                </c:ext>
              </c:extLst>
            </c:dLbl>
            <c:dLbl>
              <c:idx val="5"/>
              <c:layout>
                <c:manualLayout>
                  <c:x val="0"/>
                  <c:y val="-3.29670329670330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6B9-490A-BCC5-E967701FD0CF}"/>
                </c:ext>
              </c:extLst>
            </c:dLbl>
            <c:dLbl>
              <c:idx val="6"/>
              <c:layout>
                <c:manualLayout>
                  <c:x val="-3.3179078196381826E-3"/>
                  <c:y val="-3.29670329670329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6B9-490A-BCC5-E967701FD0CF}"/>
                </c:ext>
              </c:extLst>
            </c:dLbl>
            <c:dLbl>
              <c:idx val="9"/>
              <c:layout>
                <c:manualLayout>
                  <c:x val="-7.7390823659482348E-3"/>
                  <c:y val="-3.29670329670329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6B9-490A-BCC5-E967701FD0CF}"/>
                </c:ext>
              </c:extLst>
            </c:dLbl>
            <c:dLbl>
              <c:idx val="11"/>
              <c:layout>
                <c:manualLayout>
                  <c:x val="-1.1059692732127274E-3"/>
                  <c:y val="-4.02930402930403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6B9-490A-BCC5-E967701FD0C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'PAPER I CARTRÓ PORTA A PORTA'!$C$4:$N$4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'PAPER I CARTRÓ PORTA A PORTA'!$C$46:$N$46</c:f>
              <c:numCache>
                <c:formatCode>#,##0</c:formatCode>
                <c:ptCount val="12"/>
                <c:pt idx="0">
                  <c:v>103820</c:v>
                </c:pt>
                <c:pt idx="1">
                  <c:v>90610</c:v>
                </c:pt>
                <c:pt idx="2">
                  <c:v>106300</c:v>
                </c:pt>
                <c:pt idx="3">
                  <c:v>100890</c:v>
                </c:pt>
                <c:pt idx="4">
                  <c:v>133260</c:v>
                </c:pt>
                <c:pt idx="5">
                  <c:v>111540</c:v>
                </c:pt>
                <c:pt idx="6">
                  <c:v>138406</c:v>
                </c:pt>
                <c:pt idx="7">
                  <c:v>99960</c:v>
                </c:pt>
                <c:pt idx="8">
                  <c:v>130040</c:v>
                </c:pt>
                <c:pt idx="9">
                  <c:v>138815</c:v>
                </c:pt>
                <c:pt idx="10">
                  <c:v>129980</c:v>
                </c:pt>
                <c:pt idx="11">
                  <c:v>138300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F6B9-490A-BCC5-E967701FD0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456192"/>
        <c:axId val="110462080"/>
      </c:lineChart>
      <c:catAx>
        <c:axId val="110456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10462080"/>
        <c:crosses val="autoZero"/>
        <c:auto val="1"/>
        <c:lblAlgn val="ctr"/>
        <c:lblOffset val="100"/>
        <c:noMultiLvlLbl val="0"/>
      </c:catAx>
      <c:valAx>
        <c:axId val="11046208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10456192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900" b="1" i="0" u="none" strike="noStrike" baseline="0">
                <a:solidFill>
                  <a:srgbClr val="FF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</c:legendEntry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1255" l="0.70000000000000062" r="0.70000000000000062" t="0.7500000000000125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400"/>
              <a:t>Envasos 2019-2018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ENVASOS!$B$48</c:f>
              <c:strCache>
                <c:ptCount val="1"/>
                <c:pt idx="0">
                  <c:v>TOTAL MENSUAL 2018</c:v>
                </c:pt>
              </c:strCache>
            </c:strRef>
          </c:tx>
          <c:spPr>
            <a:solidFill>
              <a:srgbClr val="BC8F00"/>
            </a:solidFill>
          </c:spPr>
          <c:invertIfNegative val="0"/>
          <c:dLbls>
            <c:dLbl>
              <c:idx val="4"/>
              <c:layout>
                <c:manualLayout>
                  <c:x val="1.2771006363930541E-3"/>
                  <c:y val="-2.63596230799018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589-4D9A-915B-1E765321DBD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ENVASOS!$C$3:$N$3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ENVASOS!$C$48:$N$48</c:f>
              <c:numCache>
                <c:formatCode>#,##0</c:formatCode>
                <c:ptCount val="12"/>
                <c:pt idx="0">
                  <c:v>492829.60000000009</c:v>
                </c:pt>
                <c:pt idx="1">
                  <c:v>421959.93</c:v>
                </c:pt>
                <c:pt idx="2">
                  <c:v>494580.00999999995</c:v>
                </c:pt>
                <c:pt idx="3">
                  <c:v>478619.99000000005</c:v>
                </c:pt>
                <c:pt idx="4">
                  <c:v>506699.99999999994</c:v>
                </c:pt>
                <c:pt idx="5">
                  <c:v>492539.98999999993</c:v>
                </c:pt>
                <c:pt idx="6">
                  <c:v>520740.02999999985</c:v>
                </c:pt>
                <c:pt idx="7">
                  <c:v>494920</c:v>
                </c:pt>
                <c:pt idx="8">
                  <c:v>473600.31000000017</c:v>
                </c:pt>
                <c:pt idx="9">
                  <c:v>531240.03000000014</c:v>
                </c:pt>
                <c:pt idx="10">
                  <c:v>517179.98776397511</c:v>
                </c:pt>
                <c:pt idx="11">
                  <c:v>503200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589-4D9A-915B-1E765321DBD2}"/>
            </c:ext>
          </c:extLst>
        </c:ser>
        <c:ser>
          <c:idx val="41"/>
          <c:order val="1"/>
          <c:tx>
            <c:strRef>
              <c:f>ENVASOS!$B$45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dLbls>
            <c:dLbl>
              <c:idx val="0"/>
              <c:layout>
                <c:manualLayout>
                  <c:x val="1.4840182648402202E-2"/>
                  <c:y val="-8.743169398907103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589-4D9A-915B-1E765321DBD2}"/>
                </c:ext>
              </c:extLst>
            </c:dLbl>
            <c:dLbl>
              <c:idx val="5"/>
              <c:layout>
                <c:manualLayout>
                  <c:x val="6.4772570472218744E-4"/>
                  <c:y val="-1.74863387978142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589-4D9A-915B-1E765321DBD2}"/>
                </c:ext>
              </c:extLst>
            </c:dLbl>
            <c:dLbl>
              <c:idx val="6"/>
              <c:layout>
                <c:manualLayout>
                  <c:x val="9.132420091324276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589-4D9A-915B-1E765321DBD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ENVASOS!$C$3:$N$3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ENVASOS!$C$47:$N$47</c:f>
              <c:numCache>
                <c:formatCode>#,##0</c:formatCode>
                <c:ptCount val="12"/>
                <c:pt idx="0">
                  <c:v>503899.74000000005</c:v>
                </c:pt>
                <c:pt idx="1">
                  <c:v>455080.39999999997</c:v>
                </c:pt>
                <c:pt idx="2">
                  <c:v>507040.02</c:v>
                </c:pt>
                <c:pt idx="3">
                  <c:v>520320</c:v>
                </c:pt>
                <c:pt idx="4">
                  <c:v>549739.98</c:v>
                </c:pt>
                <c:pt idx="5">
                  <c:v>521619.62999999995</c:v>
                </c:pt>
                <c:pt idx="6">
                  <c:v>598939.9800000001</c:v>
                </c:pt>
                <c:pt idx="7">
                  <c:v>530639.98999999987</c:v>
                </c:pt>
                <c:pt idx="8">
                  <c:v>557359.98999999976</c:v>
                </c:pt>
                <c:pt idx="9">
                  <c:v>561707.25999999989</c:v>
                </c:pt>
                <c:pt idx="10">
                  <c:v>536559.85800000001</c:v>
                </c:pt>
                <c:pt idx="11">
                  <c:v>587260.01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589-4D9A-915B-1E765321DB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110537344"/>
        <c:axId val="110543232"/>
        <c:axId val="0"/>
      </c:bar3DChart>
      <c:catAx>
        <c:axId val="110537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10543232"/>
        <c:crosses val="autoZero"/>
        <c:auto val="1"/>
        <c:lblAlgn val="ctr"/>
        <c:lblOffset val="100"/>
        <c:noMultiLvlLbl val="0"/>
      </c:catAx>
      <c:valAx>
        <c:axId val="110543232"/>
        <c:scaling>
          <c:orientation val="minMax"/>
          <c:min val="3000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1053734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egendEntry>
        <c:idx val="0"/>
        <c:txPr>
          <a:bodyPr/>
          <a:lstStyle/>
          <a:p>
            <a:pPr>
              <a:defRPr sz="1000" b="1" i="0" u="none" strike="noStrike" baseline="0">
                <a:solidFill>
                  <a:srgbClr val="FF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</c:legendEntry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1232" l="0.70000000000000062" r="0.70000000000000062" t="0.7500000000000123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400"/>
              <a:t>Envasos 2019-2018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ENVASOS!$B$48</c:f>
              <c:strCache>
                <c:ptCount val="1"/>
                <c:pt idx="0">
                  <c:v>TOTAL MENSUAL 2018</c:v>
                </c:pt>
              </c:strCache>
            </c:strRef>
          </c:tx>
          <c:spPr>
            <a:ln>
              <a:solidFill>
                <a:srgbClr val="E39F17"/>
              </a:solidFill>
            </a:ln>
          </c:spPr>
          <c:marker>
            <c:spPr>
              <a:solidFill>
                <a:srgbClr val="FFC000"/>
              </a:solidFill>
            </c:spPr>
          </c:marker>
          <c:dLbls>
            <c:dLbl>
              <c:idx val="0"/>
              <c:layout>
                <c:manualLayout>
                  <c:x val="-1.1405759908753981E-2"/>
                  <c:y val="-2.67558528428094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16A-4249-84E3-247D4BFA32F0}"/>
                </c:ext>
              </c:extLst>
            </c:dLbl>
            <c:dLbl>
              <c:idx val="4"/>
              <c:layout>
                <c:manualLayout>
                  <c:x val="1.277139208173691E-3"/>
                  <c:y val="-1.32450377170701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16A-4249-84E3-247D4BFA32F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ENVASOS!$C$3:$N$3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ENVASOS!$C$48:$N$48</c:f>
              <c:numCache>
                <c:formatCode>#,##0</c:formatCode>
                <c:ptCount val="12"/>
                <c:pt idx="0">
                  <c:v>492829.60000000009</c:v>
                </c:pt>
                <c:pt idx="1">
                  <c:v>421959.93</c:v>
                </c:pt>
                <c:pt idx="2">
                  <c:v>494580.00999999995</c:v>
                </c:pt>
                <c:pt idx="3">
                  <c:v>478619.99000000005</c:v>
                </c:pt>
                <c:pt idx="4">
                  <c:v>506699.99999999994</c:v>
                </c:pt>
                <c:pt idx="5">
                  <c:v>492539.98999999993</c:v>
                </c:pt>
                <c:pt idx="6">
                  <c:v>520740.02999999985</c:v>
                </c:pt>
                <c:pt idx="7">
                  <c:v>494920</c:v>
                </c:pt>
                <c:pt idx="8">
                  <c:v>473600.31000000017</c:v>
                </c:pt>
                <c:pt idx="9">
                  <c:v>531240.03000000014</c:v>
                </c:pt>
                <c:pt idx="10">
                  <c:v>517179.98776397511</c:v>
                </c:pt>
                <c:pt idx="11">
                  <c:v>503200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16A-4249-84E3-247D4BFA32F0}"/>
            </c:ext>
          </c:extLst>
        </c:ser>
        <c:ser>
          <c:idx val="41"/>
          <c:order val="1"/>
          <c:tx>
            <c:strRef>
              <c:f>ENVASOS!$B$45</c:f>
              <c:strCache>
                <c:ptCount val="1"/>
                <c:pt idx="0">
                  <c:v>TOTAL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pPr>
              <a:solidFill>
                <a:srgbClr val="FFFF00"/>
              </a:solidFill>
            </c:spPr>
          </c:marker>
          <c:dLbls>
            <c:dLbl>
              <c:idx val="0"/>
              <c:layout>
                <c:manualLayout>
                  <c:x val="-1.4827487881380101E-2"/>
                  <c:y val="-4.01337792642140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16A-4249-84E3-247D4BFA32F0}"/>
                </c:ext>
              </c:extLst>
            </c:dLbl>
            <c:dLbl>
              <c:idx val="1"/>
              <c:layout>
                <c:manualLayout>
                  <c:x val="-1.731882881420144E-2"/>
                  <c:y val="-8.80240908038012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16A-4249-84E3-247D4BFA32F0}"/>
                </c:ext>
              </c:extLst>
            </c:dLbl>
            <c:dLbl>
              <c:idx val="4"/>
              <c:layout>
                <c:manualLayout>
                  <c:x val="-1.4827487881380101E-2"/>
                  <c:y val="1.33779264214046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16A-4249-84E3-247D4BFA32F0}"/>
                </c:ext>
              </c:extLst>
            </c:dLbl>
            <c:dLbl>
              <c:idx val="5"/>
              <c:layout>
                <c:manualLayout>
                  <c:x val="2.1899915978881735E-3"/>
                  <c:y val="-3.04592091460370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16A-4249-84E3-247D4BFA32F0}"/>
                </c:ext>
              </c:extLst>
            </c:dLbl>
            <c:dLbl>
              <c:idx val="6"/>
              <c:layout>
                <c:manualLayout>
                  <c:x val="2.2811519817508012E-3"/>
                  <c:y val="2.67558528428094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16A-4249-84E3-247D4BFA32F0}"/>
                </c:ext>
              </c:extLst>
            </c:dLbl>
            <c:dLbl>
              <c:idx val="8"/>
              <c:layout>
                <c:manualLayout>
                  <c:x val="0"/>
                  <c:y val="-3.6432641925938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16A-4249-84E3-247D4BFA32F0}"/>
                </c:ext>
              </c:extLst>
            </c:dLbl>
            <c:dLbl>
              <c:idx val="10"/>
              <c:layout>
                <c:manualLayout>
                  <c:x val="0"/>
                  <c:y val="-2.67558528428094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16A-4249-84E3-247D4BFA32F0}"/>
                </c:ext>
              </c:extLst>
            </c:dLbl>
            <c:dLbl>
              <c:idx val="11"/>
              <c:layout>
                <c:manualLayout>
                  <c:x val="0"/>
                  <c:y val="-4.01337792642140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16A-4249-84E3-247D4BFA32F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ENVASOS!$C$3:$N$3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ENVASOS!$C$47:$N$47</c:f>
              <c:numCache>
                <c:formatCode>#,##0</c:formatCode>
                <c:ptCount val="12"/>
                <c:pt idx="0">
                  <c:v>503899.74000000005</c:v>
                </c:pt>
                <c:pt idx="1">
                  <c:v>455080.39999999997</c:v>
                </c:pt>
                <c:pt idx="2">
                  <c:v>507040.02</c:v>
                </c:pt>
                <c:pt idx="3">
                  <c:v>520320</c:v>
                </c:pt>
                <c:pt idx="4">
                  <c:v>549739.98</c:v>
                </c:pt>
                <c:pt idx="5">
                  <c:v>521619.62999999995</c:v>
                </c:pt>
                <c:pt idx="6">
                  <c:v>598939.9800000001</c:v>
                </c:pt>
                <c:pt idx="7">
                  <c:v>530639.98999999987</c:v>
                </c:pt>
                <c:pt idx="8">
                  <c:v>557359.98999999976</c:v>
                </c:pt>
                <c:pt idx="9">
                  <c:v>561707.25999999989</c:v>
                </c:pt>
                <c:pt idx="10">
                  <c:v>536559.85800000001</c:v>
                </c:pt>
                <c:pt idx="11">
                  <c:v>587260.01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916A-4249-84E3-247D4BFA32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457920"/>
        <c:axId val="107463808"/>
      </c:lineChart>
      <c:catAx>
        <c:axId val="107457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07463808"/>
        <c:crosses val="autoZero"/>
        <c:auto val="1"/>
        <c:lblAlgn val="ctr"/>
        <c:lblOffset val="100"/>
        <c:noMultiLvlLbl val="0"/>
      </c:catAx>
      <c:valAx>
        <c:axId val="107463808"/>
        <c:scaling>
          <c:orientation val="minMax"/>
          <c:min val="3000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07457920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1000" b="1" i="0" u="none" strike="noStrike" baseline="0">
                <a:solidFill>
                  <a:srgbClr val="FF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</c:legendEntry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1255" l="0.70000000000000062" r="0.70000000000000062" t="0.75000000000001255" header="0.30000000000000032" footer="0.30000000000000032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400"/>
              <a:t>Vidre 2019-2018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VIDRE!$B$49</c:f>
              <c:strCache>
                <c:ptCount val="1"/>
                <c:pt idx="0">
                  <c:v>TOTAL MENSUAL 2018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</c:spPr>
          <c:invertIfNegative val="0"/>
          <c:dLbls>
            <c:dLbl>
              <c:idx val="2"/>
              <c:layout>
                <c:manualLayout>
                  <c:x val="-5.8393080611759034E-3"/>
                  <c:y val="-2.15749730312837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C24-4EFC-8C2D-37E83157B4B7}"/>
                </c:ext>
              </c:extLst>
            </c:dLbl>
            <c:dLbl>
              <c:idx val="4"/>
              <c:layout>
                <c:manualLayout>
                  <c:x val="5.1085568326947684E-3"/>
                  <c:y val="4.41501257235666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C24-4EFC-8C2D-37E83157B4B7}"/>
                </c:ext>
              </c:extLst>
            </c:dLbl>
            <c:dLbl>
              <c:idx val="5"/>
              <c:layout>
                <c:manualLayout>
                  <c:x val="5.1085568326947684E-3"/>
                  <c:y val="-3.4763878530588503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C24-4EFC-8C2D-37E83157B4B7}"/>
                </c:ext>
              </c:extLst>
            </c:dLbl>
            <c:dLbl>
              <c:idx val="9"/>
              <c:layout>
                <c:manualLayout>
                  <c:x val="1.012658227848102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C24-4EFC-8C2D-37E83157B4B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VIDRE!$C$4:$N$4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VIDRE!$C$49:$N$49</c:f>
              <c:numCache>
                <c:formatCode>#,##0</c:formatCode>
                <c:ptCount val="12"/>
                <c:pt idx="0">
                  <c:v>665919.99</c:v>
                </c:pt>
                <c:pt idx="1">
                  <c:v>362839.65</c:v>
                </c:pt>
                <c:pt idx="2">
                  <c:v>451140.36999999994</c:v>
                </c:pt>
                <c:pt idx="3">
                  <c:v>461399.97999999986</c:v>
                </c:pt>
                <c:pt idx="4">
                  <c:v>441439.95</c:v>
                </c:pt>
                <c:pt idx="5">
                  <c:v>445120.02999999985</c:v>
                </c:pt>
                <c:pt idx="6">
                  <c:v>494700</c:v>
                </c:pt>
                <c:pt idx="7">
                  <c:v>532180.97</c:v>
                </c:pt>
                <c:pt idx="8">
                  <c:v>428980</c:v>
                </c:pt>
                <c:pt idx="9">
                  <c:v>455039.99000000011</c:v>
                </c:pt>
                <c:pt idx="10">
                  <c:v>426259.8000000001</c:v>
                </c:pt>
                <c:pt idx="11">
                  <c:v>493020.04000000004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C24-4EFC-8C2D-37E83157B4B7}"/>
            </c:ext>
          </c:extLst>
        </c:ser>
        <c:ser>
          <c:idx val="41"/>
          <c:order val="1"/>
          <c:tx>
            <c:strRef>
              <c:f>VIDRE!$B$46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dLbls>
            <c:dLbl>
              <c:idx val="1"/>
              <c:layout>
                <c:manualLayout>
                  <c:x val="-2.5543789784897813E-3"/>
                  <c:y val="-3.97351131512100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C24-4EFC-8C2D-37E83157B4B7}"/>
                </c:ext>
              </c:extLst>
            </c:dLbl>
            <c:dLbl>
              <c:idx val="2"/>
              <c:layout>
                <c:manualLayout>
                  <c:x val="1.2742305945933981E-2"/>
                  <c:y val="-4.41488503257481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C24-4EFC-8C2D-37E83157B4B7}"/>
                </c:ext>
              </c:extLst>
            </c:dLbl>
            <c:dLbl>
              <c:idx val="3"/>
              <c:layout>
                <c:manualLayout>
                  <c:x val="6.7510548523206804E-3"/>
                  <c:y val="-8.629989212513502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C24-4EFC-8C2D-37E83157B4B7}"/>
                </c:ext>
              </c:extLst>
            </c:dLbl>
            <c:dLbl>
              <c:idx val="4"/>
              <c:layout>
                <c:manualLayout>
                  <c:x val="6.7510548523206804E-3"/>
                  <c:y val="8.629989212513502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C24-4EFC-8C2D-37E83157B4B7}"/>
                </c:ext>
              </c:extLst>
            </c:dLbl>
            <c:dLbl>
              <c:idx val="5"/>
              <c:layout>
                <c:manualLayout>
                  <c:x val="5.6258790436005714E-3"/>
                  <c:y val="-1.29449838187702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C24-4EFC-8C2D-37E83157B4B7}"/>
                </c:ext>
              </c:extLst>
            </c:dLbl>
            <c:dLbl>
              <c:idx val="6"/>
              <c:layout>
                <c:manualLayout>
                  <c:x val="1.125175808720112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C24-4EFC-8C2D-37E83157B4B7}"/>
                </c:ext>
              </c:extLst>
            </c:dLbl>
            <c:dLbl>
              <c:idx val="8"/>
              <c:layout>
                <c:manualLayout>
                  <c:x val="1.687763713080168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C24-4EFC-8C2D-37E83157B4B7}"/>
                </c:ext>
              </c:extLst>
            </c:dLbl>
            <c:dLbl>
              <c:idx val="10"/>
              <c:layout>
                <c:manualLayout>
                  <c:x val="8.531058384430818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B3B-4F88-B7E8-05360B77A3C3}"/>
                </c:ext>
              </c:extLst>
            </c:dLbl>
            <c:dLbl>
              <c:idx val="11"/>
              <c:layout>
                <c:manualLayout>
                  <c:x val="2.0253164556962036E-2"/>
                  <c:y val="-8.629989212513502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C24-4EFC-8C2D-37E83157B4B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VIDRE!$C$4:$N$4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VIDRE!$C$48:$N$48</c:f>
              <c:numCache>
                <c:formatCode>#,##0</c:formatCode>
                <c:ptCount val="12"/>
                <c:pt idx="0">
                  <c:v>613339.87</c:v>
                </c:pt>
                <c:pt idx="1">
                  <c:v>429160.02</c:v>
                </c:pt>
                <c:pt idx="2">
                  <c:v>422099.99999999994</c:v>
                </c:pt>
                <c:pt idx="3">
                  <c:v>464379.98999999993</c:v>
                </c:pt>
                <c:pt idx="4">
                  <c:v>473939.96</c:v>
                </c:pt>
                <c:pt idx="5">
                  <c:v>412300.00000000006</c:v>
                </c:pt>
                <c:pt idx="6">
                  <c:v>549179.96999999974</c:v>
                </c:pt>
                <c:pt idx="7">
                  <c:v>459940.02</c:v>
                </c:pt>
                <c:pt idx="8">
                  <c:v>546939.98999999987</c:v>
                </c:pt>
                <c:pt idx="9">
                  <c:v>542460.10000000009</c:v>
                </c:pt>
                <c:pt idx="10">
                  <c:v>420879.99999999994</c:v>
                </c:pt>
                <c:pt idx="11">
                  <c:v>530479.97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CC24-4EFC-8C2D-37E83157B4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111142784"/>
        <c:axId val="111144320"/>
        <c:axId val="0"/>
      </c:bar3DChart>
      <c:catAx>
        <c:axId val="111142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11144320"/>
        <c:crosses val="autoZero"/>
        <c:auto val="1"/>
        <c:lblAlgn val="ctr"/>
        <c:lblOffset val="100"/>
        <c:noMultiLvlLbl val="0"/>
      </c:catAx>
      <c:valAx>
        <c:axId val="111144320"/>
        <c:scaling>
          <c:orientation val="minMax"/>
          <c:min val="2000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1114278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egendEntry>
        <c:idx val="0"/>
        <c:txPr>
          <a:bodyPr/>
          <a:lstStyle/>
          <a:p>
            <a:pPr>
              <a:defRPr sz="1000" b="1" i="0" u="none" strike="noStrike" baseline="0">
                <a:solidFill>
                  <a:srgbClr val="FF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</c:legendEntry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1255" l="0.70000000000000062" r="0.70000000000000062" t="0.75000000000001255" header="0.30000000000000032" footer="0.30000000000000032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400"/>
              <a:t>Vidre 2019-2018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VIDRE!$B$49</c:f>
              <c:strCache>
                <c:ptCount val="1"/>
                <c:pt idx="0">
                  <c:v>TOTAL MENSUAL 2018</c:v>
                </c:pt>
              </c:strCache>
            </c:strRef>
          </c:tx>
          <c:spPr>
            <a:ln>
              <a:solidFill>
                <a:schemeClr val="accent3">
                  <a:lumMod val="60000"/>
                  <a:lumOff val="40000"/>
                </a:schemeClr>
              </a:solidFill>
            </a:ln>
          </c:spPr>
          <c:marker>
            <c:spPr>
              <a:solidFill>
                <a:schemeClr val="accent3">
                  <a:lumMod val="60000"/>
                  <a:lumOff val="40000"/>
                </a:schemeClr>
              </a:solidFill>
            </c:spPr>
          </c:marker>
          <c:dLbls>
            <c:dLbl>
              <c:idx val="1"/>
              <c:layout>
                <c:manualLayout>
                  <c:x val="-3.8314176245210752E-3"/>
                  <c:y val="3.09050880064967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00C-48CF-B8B9-55B09869127B}"/>
                </c:ext>
              </c:extLst>
            </c:dLbl>
            <c:dLbl>
              <c:idx val="2"/>
              <c:layout>
                <c:manualLayout>
                  <c:x val="-3.8314176245210752E-3"/>
                  <c:y val="1.76600502894267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00C-48CF-B8B9-55B09869127B}"/>
                </c:ext>
              </c:extLst>
            </c:dLbl>
            <c:dLbl>
              <c:idx val="4"/>
              <c:layout>
                <c:manualLayout>
                  <c:x val="1.277139208173691E-3"/>
                  <c:y val="-1.32450377170701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00C-48CF-B8B9-55B09869127B}"/>
                </c:ext>
              </c:extLst>
            </c:dLbl>
            <c:dLbl>
              <c:idx val="6"/>
              <c:layout>
                <c:manualLayout>
                  <c:x val="0"/>
                  <c:y val="-2.35988200589969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00C-48CF-B8B9-55B09869127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VIDRE!$C$4:$N$4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VIDRE!$C$49:$N$49</c:f>
              <c:numCache>
                <c:formatCode>#,##0</c:formatCode>
                <c:ptCount val="12"/>
                <c:pt idx="0">
                  <c:v>665919.99</c:v>
                </c:pt>
                <c:pt idx="1">
                  <c:v>362839.65</c:v>
                </c:pt>
                <c:pt idx="2">
                  <c:v>451140.36999999994</c:v>
                </c:pt>
                <c:pt idx="3">
                  <c:v>461399.97999999986</c:v>
                </c:pt>
                <c:pt idx="4">
                  <c:v>441439.95</c:v>
                </c:pt>
                <c:pt idx="5">
                  <c:v>445120.02999999985</c:v>
                </c:pt>
                <c:pt idx="6">
                  <c:v>494700</c:v>
                </c:pt>
                <c:pt idx="7">
                  <c:v>532180.97</c:v>
                </c:pt>
                <c:pt idx="8">
                  <c:v>428980</c:v>
                </c:pt>
                <c:pt idx="9">
                  <c:v>455039.99000000011</c:v>
                </c:pt>
                <c:pt idx="10">
                  <c:v>426259.8000000001</c:v>
                </c:pt>
                <c:pt idx="11">
                  <c:v>493020.04000000004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00C-48CF-B8B9-55B09869127B}"/>
            </c:ext>
          </c:extLst>
        </c:ser>
        <c:ser>
          <c:idx val="41"/>
          <c:order val="1"/>
          <c:tx>
            <c:strRef>
              <c:f>VIDRE!$B$46</c:f>
              <c:strCache>
                <c:ptCount val="1"/>
                <c:pt idx="0">
                  <c:v>TOTAL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pPr>
              <a:solidFill>
                <a:schemeClr val="accent3">
                  <a:lumMod val="75000"/>
                </a:schemeClr>
              </a:solidFill>
            </c:spPr>
          </c:marker>
          <c:dLbls>
            <c:dLbl>
              <c:idx val="1"/>
              <c:layout>
                <c:manualLayout>
                  <c:x val="-1.277139208173691E-3"/>
                  <c:y val="-2.64900754341400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00C-48CF-B8B9-55B09869127B}"/>
                </c:ext>
              </c:extLst>
            </c:dLbl>
            <c:dLbl>
              <c:idx val="2"/>
              <c:layout>
                <c:manualLayout>
                  <c:x val="-3.8314580650609022E-3"/>
                  <c:y val="1.41301466039532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00C-48CF-B8B9-55B09869127B}"/>
                </c:ext>
              </c:extLst>
            </c:dLbl>
            <c:dLbl>
              <c:idx val="3"/>
              <c:layout>
                <c:manualLayout>
                  <c:x val="-9.9502487562189521E-3"/>
                  <c:y val="-5.1130776794493613E-2"/>
                </c:manualLayout>
              </c:layout>
              <c:tx>
                <c:rich>
                  <a:bodyPr/>
                  <a:lstStyle/>
                  <a:p>
                    <a:fld id="{3CE6016B-20DE-4350-893D-43CABBA818FC}" type="VALUE">
                      <a:rPr lang="en-US" b="0"/>
                      <a:pPr/>
                      <a:t>[VALOR]</a:t>
                    </a:fld>
                    <a:endParaRPr lang="es-E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C66C-4FB1-A442-A283D7C5CADD}"/>
                </c:ext>
              </c:extLst>
            </c:dLbl>
            <c:dLbl>
              <c:idx val="6"/>
              <c:layout>
                <c:manualLayout>
                  <c:x val="-2.263723825693341E-3"/>
                  <c:y val="-3.53982300884955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00C-48CF-B8B9-55B09869127B}"/>
                </c:ext>
              </c:extLst>
            </c:dLbl>
            <c:dLbl>
              <c:idx val="8"/>
              <c:layout>
                <c:manualLayout>
                  <c:x val="0"/>
                  <c:y val="-3.93313667649952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00C-48CF-B8B9-55B09869127B}"/>
                </c:ext>
              </c:extLst>
            </c:dLbl>
            <c:dLbl>
              <c:idx val="9"/>
              <c:layout>
                <c:manualLayout>
                  <c:x val="0"/>
                  <c:y val="2.36885684166780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00C-48CF-B8B9-55B09869127B}"/>
                </c:ext>
              </c:extLst>
            </c:dLbl>
            <c:dLbl>
              <c:idx val="10"/>
              <c:layout>
                <c:manualLayout>
                  <c:x val="-1.0723860589812366E-3"/>
                  <c:y val="2.011397496807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624-4908-9D1C-C0F36CDEA2F2}"/>
                </c:ext>
              </c:extLst>
            </c:dLbl>
            <c:dLbl>
              <c:idx val="11"/>
              <c:layout>
                <c:manualLayout>
                  <c:x val="-2.263723825693341E-3"/>
                  <c:y val="-5.11307767944936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00C-48CF-B8B9-55B09869127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VIDRE!$C$4:$N$4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VIDRE!$C$48:$N$48</c:f>
              <c:numCache>
                <c:formatCode>#,##0</c:formatCode>
                <c:ptCount val="12"/>
                <c:pt idx="0">
                  <c:v>613339.87</c:v>
                </c:pt>
                <c:pt idx="1">
                  <c:v>429160.02</c:v>
                </c:pt>
                <c:pt idx="2">
                  <c:v>422099.99999999994</c:v>
                </c:pt>
                <c:pt idx="3">
                  <c:v>464379.98999999993</c:v>
                </c:pt>
                <c:pt idx="4">
                  <c:v>473939.96</c:v>
                </c:pt>
                <c:pt idx="5">
                  <c:v>412300.00000000006</c:v>
                </c:pt>
                <c:pt idx="6">
                  <c:v>549179.96999999974</c:v>
                </c:pt>
                <c:pt idx="7">
                  <c:v>459940.02</c:v>
                </c:pt>
                <c:pt idx="8">
                  <c:v>546939.98999999987</c:v>
                </c:pt>
                <c:pt idx="9">
                  <c:v>542460.10000000009</c:v>
                </c:pt>
                <c:pt idx="10">
                  <c:v>420879.99999999994</c:v>
                </c:pt>
                <c:pt idx="11">
                  <c:v>530479.97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400C-48CF-B8B9-55B0986912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208896"/>
        <c:axId val="112239360"/>
      </c:lineChart>
      <c:catAx>
        <c:axId val="112208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12239360"/>
        <c:crosses val="autoZero"/>
        <c:auto val="1"/>
        <c:lblAlgn val="ctr"/>
        <c:lblOffset val="100"/>
        <c:noMultiLvlLbl val="0"/>
      </c:catAx>
      <c:valAx>
        <c:axId val="112239360"/>
        <c:scaling>
          <c:orientation val="minMax"/>
          <c:min val="3000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12208896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900" b="1" i="0" u="none" strike="noStrike" baseline="0">
                <a:solidFill>
                  <a:srgbClr val="FF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</c:legendEntry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9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762000</xdr:colOff>
      <xdr:row>29</xdr:row>
      <xdr:rowOff>160020</xdr:rowOff>
    </xdr:from>
    <xdr:to>
      <xdr:col>7</xdr:col>
      <xdr:colOff>655320</xdr:colOff>
      <xdr:row>46</xdr:row>
      <xdr:rowOff>121920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51</xdr:row>
      <xdr:rowOff>81915</xdr:rowOff>
    </xdr:from>
    <xdr:to>
      <xdr:col>14</xdr:col>
      <xdr:colOff>581025</xdr:colOff>
      <xdr:row>66</xdr:row>
      <xdr:rowOff>112395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67</xdr:row>
      <xdr:rowOff>0</xdr:rowOff>
    </xdr:from>
    <xdr:to>
      <xdr:col>14</xdr:col>
      <xdr:colOff>579120</xdr:colOff>
      <xdr:row>83</xdr:row>
      <xdr:rowOff>175260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51</xdr:row>
      <xdr:rowOff>81915</xdr:rowOff>
    </xdr:from>
    <xdr:to>
      <xdr:col>14</xdr:col>
      <xdr:colOff>581025</xdr:colOff>
      <xdr:row>66</xdr:row>
      <xdr:rowOff>112395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67</xdr:row>
      <xdr:rowOff>0</xdr:rowOff>
    </xdr:from>
    <xdr:to>
      <xdr:col>14</xdr:col>
      <xdr:colOff>579120</xdr:colOff>
      <xdr:row>83</xdr:row>
      <xdr:rowOff>175260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35982</xdr:colOff>
      <xdr:row>53</xdr:row>
      <xdr:rowOff>26458</xdr:rowOff>
    </xdr:from>
    <xdr:to>
      <xdr:col>14</xdr:col>
      <xdr:colOff>378882</xdr:colOff>
      <xdr:row>68</xdr:row>
      <xdr:rowOff>74083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23283</xdr:colOff>
      <xdr:row>69</xdr:row>
      <xdr:rowOff>135467</xdr:rowOff>
    </xdr:from>
    <xdr:to>
      <xdr:col>14</xdr:col>
      <xdr:colOff>377825</xdr:colOff>
      <xdr:row>84</xdr:row>
      <xdr:rowOff>130175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52</xdr:row>
      <xdr:rowOff>185208</xdr:rowOff>
    </xdr:from>
    <xdr:to>
      <xdr:col>14</xdr:col>
      <xdr:colOff>504825</xdr:colOff>
      <xdr:row>70</xdr:row>
      <xdr:rowOff>84666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27517</xdr:colOff>
      <xdr:row>71</xdr:row>
      <xdr:rowOff>178858</xdr:rowOff>
    </xdr:from>
    <xdr:to>
      <xdr:col>14</xdr:col>
      <xdr:colOff>465667</xdr:colOff>
      <xdr:row>88</xdr:row>
      <xdr:rowOff>169333</xdr:rowOff>
    </xdr:to>
    <xdr:graphicFrame macro="">
      <xdr:nvGraphicFramePr>
        <xdr:cNvPr id="3" name="3 Gráfico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</xdr:colOff>
      <xdr:row>51</xdr:row>
      <xdr:rowOff>17145</xdr:rowOff>
    </xdr:from>
    <xdr:to>
      <xdr:col>14</xdr:col>
      <xdr:colOff>369570</xdr:colOff>
      <xdr:row>67</xdr:row>
      <xdr:rowOff>17145</xdr:rowOff>
    </xdr:to>
    <xdr:graphicFrame macro="">
      <xdr:nvGraphicFramePr>
        <xdr:cNvPr id="1338" name="1 Gráfico">
          <a:extLst>
            <a:ext uri="{FF2B5EF4-FFF2-40B4-BE49-F238E27FC236}">
              <a16:creationId xmlns:a16="http://schemas.microsoft.com/office/drawing/2014/main" id="{00000000-0008-0000-0500-00003A0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11430</xdr:colOff>
      <xdr:row>68</xdr:row>
      <xdr:rowOff>53340</xdr:rowOff>
    </xdr:from>
    <xdr:to>
      <xdr:col>14</xdr:col>
      <xdr:colOff>367665</xdr:colOff>
      <xdr:row>84</xdr:row>
      <xdr:rowOff>53340</xdr:rowOff>
    </xdr:to>
    <xdr:graphicFrame macro="">
      <xdr:nvGraphicFramePr>
        <xdr:cNvPr id="1339" name="1 Gráfico">
          <a:extLst>
            <a:ext uri="{FF2B5EF4-FFF2-40B4-BE49-F238E27FC236}">
              <a16:creationId xmlns:a16="http://schemas.microsoft.com/office/drawing/2014/main" id="{00000000-0008-0000-0500-00003B0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51</xdr:row>
      <xdr:rowOff>3810</xdr:rowOff>
    </xdr:from>
    <xdr:to>
      <xdr:col>14</xdr:col>
      <xdr:colOff>428625</xdr:colOff>
      <xdr:row>68</xdr:row>
      <xdr:rowOff>41910</xdr:rowOff>
    </xdr:to>
    <xdr:graphicFrame macro="">
      <xdr:nvGraphicFramePr>
        <xdr:cNvPr id="11580" name="1 Gráfico">
          <a:extLst>
            <a:ext uri="{FF2B5EF4-FFF2-40B4-BE49-F238E27FC236}">
              <a16:creationId xmlns:a16="http://schemas.microsoft.com/office/drawing/2014/main" id="{00000000-0008-0000-0600-00003C2D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350520</xdr:colOff>
      <xdr:row>69</xdr:row>
      <xdr:rowOff>15240</xdr:rowOff>
    </xdr:from>
    <xdr:to>
      <xdr:col>14</xdr:col>
      <xdr:colOff>415290</xdr:colOff>
      <xdr:row>86</xdr:row>
      <xdr:rowOff>13335</xdr:rowOff>
    </xdr:to>
    <xdr:graphicFrame macro="">
      <xdr:nvGraphicFramePr>
        <xdr:cNvPr id="11581" name="3 Gráfico">
          <a:extLst>
            <a:ext uri="{FF2B5EF4-FFF2-40B4-BE49-F238E27FC236}">
              <a16:creationId xmlns:a16="http://schemas.microsoft.com/office/drawing/2014/main" id="{00000000-0008-0000-0600-00003D2D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a2" displayName="Tabla2" ref="A4:O48" totalsRowShown="0" headerRowDxfId="150" dataDxfId="148" headerRowBorderDxfId="149" tableBorderDxfId="147" totalsRowBorderDxfId="146">
  <sortState xmlns:xlrd2="http://schemas.microsoft.com/office/spreadsheetml/2017/richdata2" ref="A5:O48">
    <sortCondition ref="A5:A48"/>
  </sortState>
  <tableColumns count="15">
    <tableColumn id="15" xr3:uid="{00000000-0010-0000-0000-00000F000000}" name="Núm." dataDxfId="145"/>
    <tableColumn id="1" xr3:uid="{00000000-0010-0000-0000-000001000000}" name="Població" dataDxfId="144"/>
    <tableColumn id="2" xr3:uid="{00000000-0010-0000-0000-000002000000}" name="Gener" dataDxfId="143"/>
    <tableColumn id="3" xr3:uid="{00000000-0010-0000-0000-000003000000}" name="Febrer" dataDxfId="142"/>
    <tableColumn id="4" xr3:uid="{00000000-0010-0000-0000-000004000000}" name="Març" dataDxfId="141"/>
    <tableColumn id="5" xr3:uid="{00000000-0010-0000-0000-000005000000}" name="Abril" dataDxfId="140"/>
    <tableColumn id="6" xr3:uid="{00000000-0010-0000-0000-000006000000}" name="Maig" dataDxfId="139"/>
    <tableColumn id="7" xr3:uid="{00000000-0010-0000-0000-000007000000}" name="Juny" dataDxfId="138"/>
    <tableColumn id="8" xr3:uid="{00000000-0010-0000-0000-000008000000}" name="Juliol" dataDxfId="137"/>
    <tableColumn id="9" xr3:uid="{00000000-0010-0000-0000-000009000000}" name="Agost" dataDxfId="136"/>
    <tableColumn id="10" xr3:uid="{00000000-0010-0000-0000-00000A000000}" name="Setembre" dataDxfId="135"/>
    <tableColumn id="11" xr3:uid="{00000000-0010-0000-0000-00000B000000}" name="Octubre" dataDxfId="134"/>
    <tableColumn id="12" xr3:uid="{00000000-0010-0000-0000-00000C000000}" name="Novembre" dataDxfId="133"/>
    <tableColumn id="13" xr3:uid="{00000000-0010-0000-0000-00000D000000}" name="Desembre" dataDxfId="132"/>
    <tableColumn id="14" xr3:uid="{00000000-0010-0000-0000-00000E000000}" name="TOTAL" dataDxfId="131"/>
  </tableColumns>
  <tableStyleInfo name="TableStyleMedium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Tabla25" displayName="Tabla25" ref="A4:O48" totalsRowShown="0" headerRowDxfId="130" dataDxfId="128" headerRowBorderDxfId="129" tableBorderDxfId="127" totalsRowBorderDxfId="126">
  <sortState xmlns:xlrd2="http://schemas.microsoft.com/office/spreadsheetml/2017/richdata2" ref="A5:O48">
    <sortCondition ref="A5:A48"/>
  </sortState>
  <tableColumns count="15">
    <tableColumn id="15" xr3:uid="{00000000-0010-0000-0100-00000F000000}" name="Núm." dataDxfId="125"/>
    <tableColumn id="1" xr3:uid="{00000000-0010-0000-0100-000001000000}" name="Població" dataDxfId="124"/>
    <tableColumn id="2" xr3:uid="{00000000-0010-0000-0100-000002000000}" name="Gener" dataDxfId="123"/>
    <tableColumn id="3" xr3:uid="{00000000-0010-0000-0100-000003000000}" name="Febrer" dataDxfId="122"/>
    <tableColumn id="4" xr3:uid="{00000000-0010-0000-0100-000004000000}" name="Març" dataDxfId="121"/>
    <tableColumn id="5" xr3:uid="{00000000-0010-0000-0100-000005000000}" name="Abril" dataDxfId="120"/>
    <tableColumn id="6" xr3:uid="{00000000-0010-0000-0100-000006000000}" name="Maig" dataDxfId="119"/>
    <tableColumn id="7" xr3:uid="{00000000-0010-0000-0100-000007000000}" name="Juny" dataDxfId="118"/>
    <tableColumn id="8" xr3:uid="{00000000-0010-0000-0100-000008000000}" name="Juliol" dataDxfId="117"/>
    <tableColumn id="9" xr3:uid="{00000000-0010-0000-0100-000009000000}" name="Agost" dataDxfId="116"/>
    <tableColumn id="10" xr3:uid="{00000000-0010-0000-0100-00000A000000}" name="Setembre" dataDxfId="115"/>
    <tableColumn id="11" xr3:uid="{00000000-0010-0000-0100-00000B000000}" name="Octubre" dataDxfId="114"/>
    <tableColumn id="12" xr3:uid="{00000000-0010-0000-0100-00000C000000}" name="Novembre" dataDxfId="113"/>
    <tableColumn id="13" xr3:uid="{00000000-0010-0000-0100-00000D000000}" name="Desembre" dataDxfId="112"/>
    <tableColumn id="14" xr3:uid="{00000000-0010-0000-0100-00000E000000}" name="TOTAL" dataDxfId="111"/>
  </tableColumns>
  <tableStyleInfo name="TableStyleMedium6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a3" displayName="Tabla3" ref="A3:O49" totalsRowShown="0" headerRowDxfId="110" dataDxfId="109" tableBorderDxfId="108">
  <sortState xmlns:xlrd2="http://schemas.microsoft.com/office/spreadsheetml/2017/richdata2" ref="A5:O48">
    <sortCondition ref="A5:A48"/>
  </sortState>
  <tableColumns count="15">
    <tableColumn id="15" xr3:uid="{00000000-0010-0000-0200-00000F000000}" name="Núm. " dataDxfId="107"/>
    <tableColumn id="1" xr3:uid="{00000000-0010-0000-0200-000001000000}" name="Població" dataDxfId="106"/>
    <tableColumn id="2" xr3:uid="{00000000-0010-0000-0200-000002000000}" name="Gener" dataDxfId="105"/>
    <tableColumn id="3" xr3:uid="{00000000-0010-0000-0200-000003000000}" name="Febrer" dataDxfId="104"/>
    <tableColumn id="4" xr3:uid="{00000000-0010-0000-0200-000004000000}" name="Març" dataDxfId="103"/>
    <tableColumn id="5" xr3:uid="{00000000-0010-0000-0200-000005000000}" name="Abril" dataDxfId="102"/>
    <tableColumn id="6" xr3:uid="{00000000-0010-0000-0200-000006000000}" name="Maig" dataDxfId="101"/>
    <tableColumn id="7" xr3:uid="{00000000-0010-0000-0200-000007000000}" name="Juny" dataDxfId="100"/>
    <tableColumn id="8" xr3:uid="{00000000-0010-0000-0200-000008000000}" name="Juliol" dataDxfId="99"/>
    <tableColumn id="9" xr3:uid="{00000000-0010-0000-0200-000009000000}" name="Agost" dataDxfId="98"/>
    <tableColumn id="10" xr3:uid="{00000000-0010-0000-0200-00000A000000}" name="Setembre" dataDxfId="97"/>
    <tableColumn id="11" xr3:uid="{00000000-0010-0000-0200-00000B000000}" name="Octubre" dataDxfId="96"/>
    <tableColumn id="12" xr3:uid="{00000000-0010-0000-0200-00000C000000}" name="Novembre" dataDxfId="95"/>
    <tableColumn id="13" xr3:uid="{00000000-0010-0000-0200-00000D000000}" name="Desembre" dataDxfId="94"/>
    <tableColumn id="14" xr3:uid="{00000000-0010-0000-0200-00000E000000}" name="TOTAL" dataDxfId="93"/>
  </tableColumns>
  <tableStyleInfo name="TableStyleMedium7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3000000}" name="Tabla5" displayName="Tabla5" ref="A4:O50" totalsRowShown="0" headerRowDxfId="92" dataDxfId="91" tableBorderDxfId="90">
  <sortState xmlns:xlrd2="http://schemas.microsoft.com/office/spreadsheetml/2017/richdata2" ref="A5:O48">
    <sortCondition ref="A5:A48"/>
  </sortState>
  <tableColumns count="15">
    <tableColumn id="15" xr3:uid="{00000000-0010-0000-0300-00000F000000}" name="Núm." dataDxfId="89"/>
    <tableColumn id="1" xr3:uid="{00000000-0010-0000-0300-000001000000}" name="Població" dataDxfId="88"/>
    <tableColumn id="2" xr3:uid="{00000000-0010-0000-0300-000002000000}" name="Gener" dataDxfId="87"/>
    <tableColumn id="3" xr3:uid="{00000000-0010-0000-0300-000003000000}" name="Febrer" dataDxfId="86"/>
    <tableColumn id="4" xr3:uid="{00000000-0010-0000-0300-000004000000}" name="Març" dataDxfId="85"/>
    <tableColumn id="5" xr3:uid="{00000000-0010-0000-0300-000005000000}" name="Abril" dataDxfId="84"/>
    <tableColumn id="6" xr3:uid="{00000000-0010-0000-0300-000006000000}" name="Maig" dataDxfId="83"/>
    <tableColumn id="7" xr3:uid="{00000000-0010-0000-0300-000007000000}" name="Juny" dataDxfId="82"/>
    <tableColumn id="8" xr3:uid="{00000000-0010-0000-0300-000008000000}" name="Juliol" dataDxfId="81"/>
    <tableColumn id="9" xr3:uid="{00000000-0010-0000-0300-000009000000}" name="Agost" dataDxfId="80"/>
    <tableColumn id="10" xr3:uid="{00000000-0010-0000-0300-00000A000000}" name="Setembre" dataDxfId="79"/>
    <tableColumn id="11" xr3:uid="{00000000-0010-0000-0300-00000B000000}" name="Octubre" dataDxfId="78"/>
    <tableColumn id="12" xr3:uid="{00000000-0010-0000-0300-00000C000000}" name="Novembre" dataDxfId="77"/>
    <tableColumn id="13" xr3:uid="{00000000-0010-0000-0300-00000D000000}" name="Desembre" dataDxfId="76"/>
    <tableColumn id="14" xr3:uid="{00000000-0010-0000-0300-00000E000000}" name="TOTAL" dataDxfId="75"/>
  </tableColumns>
  <tableStyleInfo name="TableStyleMedium4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4000000}" name="Tabla12" displayName="Tabla12" ref="A3:O44" totalsRowShown="0" headerRowDxfId="74" dataDxfId="72" headerRowBorderDxfId="73" tableBorderDxfId="71" totalsRowBorderDxfId="70">
  <sortState xmlns:xlrd2="http://schemas.microsoft.com/office/spreadsheetml/2017/richdata2" ref="A4:O44">
    <sortCondition ref="A4:A44"/>
  </sortState>
  <tableColumns count="15">
    <tableColumn id="15" xr3:uid="{00000000-0010-0000-0400-00000F000000}" name="Núm." dataDxfId="69"/>
    <tableColumn id="1" xr3:uid="{00000000-0010-0000-0400-000001000000}" name="Població" dataDxfId="68"/>
    <tableColumn id="2" xr3:uid="{00000000-0010-0000-0400-000002000000}" name="Gener" dataDxfId="67"/>
    <tableColumn id="3" xr3:uid="{00000000-0010-0000-0400-000003000000}" name="Febrer" dataDxfId="66"/>
    <tableColumn id="4" xr3:uid="{00000000-0010-0000-0400-000004000000}" name="Març" dataDxfId="65"/>
    <tableColumn id="5" xr3:uid="{00000000-0010-0000-0400-000005000000}" name="Abril" dataDxfId="64"/>
    <tableColumn id="6" xr3:uid="{00000000-0010-0000-0400-000006000000}" name="Maig" dataDxfId="63"/>
    <tableColumn id="7" xr3:uid="{00000000-0010-0000-0400-000007000000}" name="Juny" dataDxfId="62"/>
    <tableColumn id="8" xr3:uid="{00000000-0010-0000-0400-000008000000}" name="Juliol" dataDxfId="61"/>
    <tableColumn id="9" xr3:uid="{00000000-0010-0000-0400-000009000000}" name="Agost" dataDxfId="60"/>
    <tableColumn id="10" xr3:uid="{00000000-0010-0000-0400-00000A000000}" name="Setembre" dataDxfId="59"/>
    <tableColumn id="11" xr3:uid="{00000000-0010-0000-0400-00000B000000}" name="Octubre" dataDxfId="58"/>
    <tableColumn id="12" xr3:uid="{00000000-0010-0000-0400-00000C000000}" name="Novembre" dataDxfId="57"/>
    <tableColumn id="13" xr3:uid="{00000000-0010-0000-0400-00000D000000}" name="Desembre" dataDxfId="56"/>
    <tableColumn id="14" xr3:uid="{00000000-0010-0000-0400-00000E000000}" name="TOTAL" dataDxfId="55"/>
  </tableColumns>
  <tableStyleInfo name="Estilo de tabla 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5000000}" name="Tabla8" displayName="Tabla8" ref="A3:O47" totalsRowShown="0" headerRowDxfId="54" dataDxfId="53" tableBorderDxfId="52">
  <sortState xmlns:xlrd2="http://schemas.microsoft.com/office/spreadsheetml/2017/richdata2" ref="A4:O47">
    <sortCondition ref="A4:A47"/>
  </sortState>
  <tableColumns count="15">
    <tableColumn id="15" xr3:uid="{00000000-0010-0000-0500-00000F000000}" name="Núm." dataDxfId="51"/>
    <tableColumn id="1" xr3:uid="{00000000-0010-0000-0500-000001000000}" name="Població" dataDxfId="50"/>
    <tableColumn id="2" xr3:uid="{00000000-0010-0000-0500-000002000000}" name="Gener" dataDxfId="49"/>
    <tableColumn id="3" xr3:uid="{00000000-0010-0000-0500-000003000000}" name="Febrer" dataDxfId="48"/>
    <tableColumn id="4" xr3:uid="{00000000-0010-0000-0500-000004000000}" name="Març" dataDxfId="47"/>
    <tableColumn id="5" xr3:uid="{00000000-0010-0000-0500-000005000000}" name="Abril" dataDxfId="46"/>
    <tableColumn id="6" xr3:uid="{00000000-0010-0000-0500-000006000000}" name="Maig" dataDxfId="45"/>
    <tableColumn id="7" xr3:uid="{00000000-0010-0000-0500-000007000000}" name="Juny" dataDxfId="44"/>
    <tableColumn id="8" xr3:uid="{00000000-0010-0000-0500-000008000000}" name="Juliol" dataDxfId="43"/>
    <tableColumn id="9" xr3:uid="{00000000-0010-0000-0500-000009000000}" name="Agost" dataDxfId="42"/>
    <tableColumn id="10" xr3:uid="{00000000-0010-0000-0500-00000A000000}" name="Setembre" dataDxfId="41"/>
    <tableColumn id="11" xr3:uid="{00000000-0010-0000-0500-00000B000000}" name="Octubre" dataDxfId="40"/>
    <tableColumn id="12" xr3:uid="{00000000-0010-0000-0500-00000C000000}" name="Novembre" dataDxfId="39"/>
    <tableColumn id="13" xr3:uid="{00000000-0010-0000-0500-00000D000000}" name="Desembre" dataDxfId="38"/>
    <tableColumn id="14" xr3:uid="{00000000-0010-0000-0500-00000E000000}" name="TOTAL" dataDxfId="37"/>
  </tableColumns>
  <tableStyleInfo name="TableStyleMedium3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6000000}" name="Tabla911" displayName="Tabla911" ref="A3:O45" totalsRowShown="0" headerRowDxfId="36" dataDxfId="35" tableBorderDxfId="34">
  <sortState xmlns:xlrd2="http://schemas.microsoft.com/office/spreadsheetml/2017/richdata2" ref="A4:O45">
    <sortCondition ref="A4:A45"/>
  </sortState>
  <tableColumns count="15">
    <tableColumn id="15" xr3:uid="{00000000-0010-0000-0600-00000F000000}" name="Núm." dataDxfId="33"/>
    <tableColumn id="1" xr3:uid="{00000000-0010-0000-0600-000001000000}" name="Població" dataDxfId="32"/>
    <tableColumn id="2" xr3:uid="{00000000-0010-0000-0600-000002000000}" name="Gener" dataDxfId="31"/>
    <tableColumn id="3" xr3:uid="{00000000-0010-0000-0600-000003000000}" name="Febrer" dataDxfId="30"/>
    <tableColumn id="4" xr3:uid="{00000000-0010-0000-0600-000004000000}" name="Març" dataDxfId="29"/>
    <tableColumn id="5" xr3:uid="{00000000-0010-0000-0600-000005000000}" name="Abril" dataDxfId="28"/>
    <tableColumn id="6" xr3:uid="{00000000-0010-0000-0600-000006000000}" name="Maig" dataDxfId="27"/>
    <tableColumn id="7" xr3:uid="{00000000-0010-0000-0600-000007000000}" name="Juny" dataDxfId="26"/>
    <tableColumn id="8" xr3:uid="{00000000-0010-0000-0600-000008000000}" name="Juliol" dataDxfId="25"/>
    <tableColumn id="9" xr3:uid="{00000000-0010-0000-0600-000009000000}" name="Agost" dataDxfId="24"/>
    <tableColumn id="10" xr3:uid="{00000000-0010-0000-0600-00000A000000}" name="Setembre" dataDxfId="23"/>
    <tableColumn id="11" xr3:uid="{00000000-0010-0000-0600-00000B000000}" name="Octubre" dataDxfId="22"/>
    <tableColumn id="12" xr3:uid="{00000000-0010-0000-0600-00000C000000}" name="Novembre" dataDxfId="21"/>
    <tableColumn id="13" xr3:uid="{00000000-0010-0000-0600-00000D000000}" name="Desembre" dataDxfId="20"/>
    <tableColumn id="14" xr3:uid="{00000000-0010-0000-0600-00000E000000}" name="TOTAL" dataDxfId="19"/>
  </tableColumns>
  <tableStyleInfo name="TableStyleLight18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7000000}" name="Tabla91112" displayName="Tabla91112" ref="A3:O45" totalsRowShown="0" headerRowDxfId="18" dataDxfId="17" tableBorderDxfId="16">
  <sortState xmlns:xlrd2="http://schemas.microsoft.com/office/spreadsheetml/2017/richdata2" ref="A4:O45">
    <sortCondition ref="A4:A45"/>
  </sortState>
  <tableColumns count="15">
    <tableColumn id="15" xr3:uid="{00000000-0010-0000-0700-00000F000000}" name="Núm." dataDxfId="15"/>
    <tableColumn id="1" xr3:uid="{00000000-0010-0000-0700-000001000000}" name="Població" dataDxfId="14"/>
    <tableColumn id="2" xr3:uid="{00000000-0010-0000-0700-000002000000}" name="Gener" dataDxfId="13"/>
    <tableColumn id="3" xr3:uid="{00000000-0010-0000-0700-000003000000}" name="Febrer" dataDxfId="12"/>
    <tableColumn id="4" xr3:uid="{00000000-0010-0000-0700-000004000000}" name="Març" dataDxfId="11"/>
    <tableColumn id="5" xr3:uid="{00000000-0010-0000-0700-000005000000}" name="Abril" dataDxfId="10"/>
    <tableColumn id="6" xr3:uid="{00000000-0010-0000-0700-000006000000}" name="Maig" dataDxfId="9"/>
    <tableColumn id="7" xr3:uid="{00000000-0010-0000-0700-000007000000}" name="Juny" dataDxfId="8"/>
    <tableColumn id="8" xr3:uid="{00000000-0010-0000-0700-000008000000}" name="Juliol" dataDxfId="7"/>
    <tableColumn id="9" xr3:uid="{00000000-0010-0000-0700-000009000000}" name="Agost" dataDxfId="6"/>
    <tableColumn id="10" xr3:uid="{00000000-0010-0000-0700-00000A000000}" name="Setembre" dataDxfId="5"/>
    <tableColumn id="11" xr3:uid="{00000000-0010-0000-0700-00000B000000}" name="Octubre" dataDxfId="4"/>
    <tableColumn id="12" xr3:uid="{00000000-0010-0000-0700-00000C000000}" name="Novembre" dataDxfId="3"/>
    <tableColumn id="13" xr3:uid="{00000000-0010-0000-0700-00000D000000}" name="Desembre" dataDxfId="2"/>
    <tableColumn id="14" xr3:uid="{00000000-0010-0000-0700-00000E000000}" name="TOTAL" dataDxfId="1"/>
  </tableColumns>
  <tableStyleInfo name="TableStyleLight17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table" Target="../tables/table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table" Target="../tables/table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7"/>
  <sheetViews>
    <sheetView tabSelected="1" workbookViewId="0">
      <selection activeCell="K31" sqref="K31"/>
    </sheetView>
  </sheetViews>
  <sheetFormatPr baseColWidth="10" defaultRowHeight="15" x14ac:dyDescent="0.25"/>
  <cols>
    <col min="14" max="14" width="11.5703125" style="250"/>
  </cols>
  <sheetData>
    <row r="1" spans="1:17" ht="15.75" thickBot="1" x14ac:dyDescent="0.3"/>
    <row r="2" spans="1:17" ht="15.75" thickBot="1" x14ac:dyDescent="0.3">
      <c r="B2" s="217" t="s">
        <v>26</v>
      </c>
      <c r="C2" s="218" t="s">
        <v>27</v>
      </c>
      <c r="D2" s="218" t="s">
        <v>28</v>
      </c>
      <c r="E2" s="218" t="s">
        <v>29</v>
      </c>
      <c r="F2" s="218" t="s">
        <v>30</v>
      </c>
      <c r="G2" s="218" t="s">
        <v>31</v>
      </c>
      <c r="H2" s="218" t="s">
        <v>32</v>
      </c>
      <c r="I2" s="218" t="s">
        <v>33</v>
      </c>
      <c r="J2" s="228" t="s">
        <v>34</v>
      </c>
      <c r="K2" s="234" t="s">
        <v>35</v>
      </c>
      <c r="L2" s="234" t="s">
        <v>36</v>
      </c>
      <c r="M2" s="234" t="s">
        <v>37</v>
      </c>
    </row>
    <row r="3" spans="1:17" x14ac:dyDescent="0.25">
      <c r="A3" s="212" t="s">
        <v>63</v>
      </c>
    </row>
    <row r="4" spans="1:17" x14ac:dyDescent="0.25">
      <c r="A4" s="212">
        <v>2017</v>
      </c>
      <c r="B4" s="215">
        <v>412581.0400000001</v>
      </c>
      <c r="C4" s="216">
        <v>352130.02</v>
      </c>
      <c r="D4" s="216">
        <v>405029.97000000009</v>
      </c>
      <c r="E4" s="216">
        <v>366729.58000000007</v>
      </c>
      <c r="F4" s="216">
        <v>419681.99999999988</v>
      </c>
      <c r="G4" s="216">
        <v>448799.34</v>
      </c>
      <c r="H4" s="216">
        <v>440767.29000000004</v>
      </c>
      <c r="I4" s="216">
        <v>413206.86</v>
      </c>
      <c r="J4" s="216">
        <v>438036.02</v>
      </c>
      <c r="K4" s="216">
        <v>419070.96999999991</v>
      </c>
      <c r="L4" s="216">
        <v>385953.98999999987</v>
      </c>
      <c r="M4" s="216">
        <v>440054</v>
      </c>
      <c r="N4" s="251">
        <f>SUM(B4:M4)</f>
        <v>4942041.08</v>
      </c>
      <c r="P4" s="229"/>
      <c r="Q4" s="229"/>
    </row>
    <row r="5" spans="1:17" x14ac:dyDescent="0.25">
      <c r="A5" s="212">
        <v>2018</v>
      </c>
      <c r="B5" s="244">
        <v>500800.28999999992</v>
      </c>
      <c r="C5" s="245">
        <v>375879.99999999994</v>
      </c>
      <c r="D5" s="245">
        <v>468932.01999999996</v>
      </c>
      <c r="E5" s="245">
        <v>450069.97999999986</v>
      </c>
      <c r="F5" s="245">
        <v>496034.99</v>
      </c>
      <c r="G5" s="245">
        <v>504269.98999999993</v>
      </c>
      <c r="H5" s="245">
        <v>547712.77999999991</v>
      </c>
      <c r="I5" s="245">
        <v>487850.99000000005</v>
      </c>
      <c r="J5" s="245">
        <v>514509.97000000003</v>
      </c>
      <c r="K5" s="245">
        <v>559220</v>
      </c>
      <c r="L5" s="245">
        <v>536139.99</v>
      </c>
      <c r="M5" s="245">
        <v>572150</v>
      </c>
      <c r="N5" s="252">
        <f>SUM(B5:M5)</f>
        <v>6013570.9999999991</v>
      </c>
      <c r="P5" s="2"/>
    </row>
    <row r="6" spans="1:17" ht="15.75" thickBot="1" x14ac:dyDescent="0.3">
      <c r="A6" s="212">
        <v>2019</v>
      </c>
      <c r="B6" s="213">
        <v>566700.01</v>
      </c>
      <c r="C6" s="214">
        <v>459989.99999999994</v>
      </c>
      <c r="D6" s="214">
        <v>514580</v>
      </c>
      <c r="E6" s="214">
        <v>552220</v>
      </c>
      <c r="F6" s="214">
        <f>'PAPER I CARTRÓ'!G46+'PAPER I CARTRÓ PORTA A PORTA'!G46</f>
        <v>611979.99000000022</v>
      </c>
      <c r="G6" s="214">
        <f>'PAPER I CARTRÓ'!H46+'PAPER I CARTRÓ PORTA A PORTA'!H46</f>
        <v>580150.01</v>
      </c>
      <c r="H6" s="214">
        <f>'PAPER I CARTRÓ'!I46+'PAPER I CARTRÓ PORTA A PORTA'!I46</f>
        <v>684485.96</v>
      </c>
      <c r="I6" s="214">
        <f>'PAPER I CARTRÓ'!J46+'PAPER I CARTRÓ PORTA A PORTA'!J46</f>
        <v>573520.01</v>
      </c>
      <c r="J6" s="214">
        <f>'PAPER I CARTRÓ'!K46+'PAPER I CARTRÓ PORTA A PORTA'!K46</f>
        <v>641150</v>
      </c>
      <c r="K6" s="214">
        <f>'PAPER I CARTRÓ'!L46+'PAPER I CARTRÓ PORTA A PORTA'!L46</f>
        <v>678140.00999999978</v>
      </c>
      <c r="L6" s="214">
        <f>'PAPER I CARTRÓ'!M46+'PAPER I CARTRÓ PORTA A PORTA'!M46</f>
        <v>630520.00999999978</v>
      </c>
      <c r="M6" s="214">
        <f>'PAPER I CARTRÓ'!N46+'PAPER I CARTRÓ PORTA A PORTA'!N46</f>
        <v>757479.56999999983</v>
      </c>
      <c r="N6" s="253">
        <f>SUM(B6:M6)</f>
        <v>7250915.5699999984</v>
      </c>
      <c r="P6" s="2"/>
    </row>
    <row r="7" spans="1:17" x14ac:dyDescent="0.25">
      <c r="A7" s="257" t="s">
        <v>78</v>
      </c>
      <c r="B7" s="248">
        <f>(B6/B5)-1</f>
        <v>0.13158882156398133</v>
      </c>
      <c r="C7" s="248">
        <f t="shared" ref="C7:E7" si="0">(C6/C5)-1</f>
        <v>0.22376822390124507</v>
      </c>
      <c r="D7" s="248">
        <f t="shared" si="0"/>
        <v>9.7344557533094012E-2</v>
      </c>
      <c r="E7" s="293">
        <f t="shared" si="0"/>
        <v>0.22696474890415974</v>
      </c>
      <c r="F7" s="293">
        <f t="shared" ref="F7:M7" si="1">(F6/F5)-1</f>
        <v>0.233743591354312</v>
      </c>
      <c r="G7" s="293">
        <f t="shared" si="1"/>
        <v>0.15047498662373315</v>
      </c>
      <c r="H7" s="293">
        <f t="shared" si="1"/>
        <v>0.24971697757353795</v>
      </c>
      <c r="I7" s="293">
        <f t="shared" si="1"/>
        <v>0.17560489115744127</v>
      </c>
      <c r="J7" s="293">
        <f t="shared" si="1"/>
        <v>0.24613717397934964</v>
      </c>
      <c r="K7" s="293">
        <f t="shared" si="1"/>
        <v>0.2126533564607842</v>
      </c>
      <c r="L7" s="293">
        <f t="shared" si="1"/>
        <v>0.17603615055836408</v>
      </c>
      <c r="M7" s="293">
        <f t="shared" si="1"/>
        <v>0.32391780127588898</v>
      </c>
      <c r="N7" s="248">
        <f t="shared" ref="N7" si="2">(N6/N5)-1</f>
        <v>0.20575870310668987</v>
      </c>
    </row>
    <row r="8" spans="1:17" x14ac:dyDescent="0.25">
      <c r="A8" s="212" t="s">
        <v>64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</row>
    <row r="9" spans="1:17" x14ac:dyDescent="0.25">
      <c r="A9" s="212">
        <v>2017</v>
      </c>
      <c r="B9" s="230">
        <v>444980.00999999989</v>
      </c>
      <c r="C9" s="231">
        <v>411340.00000000006</v>
      </c>
      <c r="D9" s="231">
        <v>475679.99000000017</v>
      </c>
      <c r="E9" s="231">
        <v>428580.00000000006</v>
      </c>
      <c r="F9" s="231">
        <v>487100</v>
      </c>
      <c r="G9" s="231">
        <v>498879.93999999989</v>
      </c>
      <c r="H9" s="231">
        <v>488108.25999999995</v>
      </c>
      <c r="I9" s="231">
        <v>462720.13000000006</v>
      </c>
      <c r="J9" s="231">
        <v>468340.01000000018</v>
      </c>
      <c r="K9" s="231">
        <v>480899.37999999995</v>
      </c>
      <c r="L9" s="231">
        <v>455520.01000000007</v>
      </c>
      <c r="M9" s="231">
        <v>472960</v>
      </c>
      <c r="N9" s="249">
        <f>SUM(B9:M9)</f>
        <v>5575107.7299999995</v>
      </c>
    </row>
    <row r="10" spans="1:17" x14ac:dyDescent="0.25">
      <c r="A10" s="212">
        <v>2018</v>
      </c>
      <c r="B10" s="230">
        <v>492829.60000000009</v>
      </c>
      <c r="C10" s="231">
        <v>421959.93</v>
      </c>
      <c r="D10" s="231">
        <v>494580.00999999995</v>
      </c>
      <c r="E10" s="231">
        <v>478619.99000000005</v>
      </c>
      <c r="F10" s="231">
        <v>506699.99999999994</v>
      </c>
      <c r="G10" s="231">
        <v>492539.98999999993</v>
      </c>
      <c r="H10" s="231">
        <v>520740.02999999985</v>
      </c>
      <c r="I10" s="231">
        <v>494920</v>
      </c>
      <c r="J10" s="231">
        <v>473600.31000000017</v>
      </c>
      <c r="K10" s="231">
        <v>531240.03000000014</v>
      </c>
      <c r="L10" s="231">
        <v>517179.98776397511</v>
      </c>
      <c r="M10" s="231">
        <v>503200</v>
      </c>
      <c r="N10" s="254">
        <f>SUM(B10:M10)</f>
        <v>5928109.8777639745</v>
      </c>
    </row>
    <row r="11" spans="1:17" ht="15.75" thickBot="1" x14ac:dyDescent="0.3">
      <c r="A11" s="212">
        <v>2019</v>
      </c>
      <c r="B11" s="232">
        <v>503900</v>
      </c>
      <c r="C11" s="233">
        <v>455080</v>
      </c>
      <c r="D11" s="233">
        <v>507040</v>
      </c>
      <c r="E11" s="233">
        <f>ENVASOS!F47</f>
        <v>520320</v>
      </c>
      <c r="F11" s="233">
        <f>ENVASOS!G47</f>
        <v>549739.98</v>
      </c>
      <c r="G11" s="233">
        <f>ENVASOS!H47</f>
        <v>521619.62999999995</v>
      </c>
      <c r="H11" s="233">
        <f>ENVASOS!I47</f>
        <v>598939.9800000001</v>
      </c>
      <c r="I11" s="233">
        <f>ENVASOS!J47</f>
        <v>530639.98999999987</v>
      </c>
      <c r="J11" s="233">
        <f>ENVASOS!K47</f>
        <v>557359.98999999976</v>
      </c>
      <c r="K11" s="233">
        <f>ENVASOS!L47</f>
        <v>561707.25999999989</v>
      </c>
      <c r="L11" s="233">
        <f>ENVASOS!M47</f>
        <v>536559.85800000001</v>
      </c>
      <c r="M11" s="233">
        <f>ENVASOS!N47</f>
        <v>587260.01</v>
      </c>
      <c r="N11" s="254">
        <f>SUM(B11:M11)</f>
        <v>6430166.6979999989</v>
      </c>
    </row>
    <row r="12" spans="1:17" x14ac:dyDescent="0.25">
      <c r="A12" s="257" t="s">
        <v>78</v>
      </c>
      <c r="B12" s="248">
        <f>(B11/B10)-1</f>
        <v>2.2462936479464624E-2</v>
      </c>
      <c r="C12" s="248">
        <f t="shared" ref="C12" si="3">(C11/C10)-1</f>
        <v>7.8491031127055244E-2</v>
      </c>
      <c r="D12" s="248">
        <f t="shared" ref="D12:M12" si="4">(D11/D10)-1</f>
        <v>2.5193072400965022E-2</v>
      </c>
      <c r="E12" s="293">
        <f t="shared" si="4"/>
        <v>8.7125508485343284E-2</v>
      </c>
      <c r="F12" s="293">
        <f t="shared" si="4"/>
        <v>8.4941740674955746E-2</v>
      </c>
      <c r="G12" s="293">
        <f t="shared" si="4"/>
        <v>5.9040160373577066E-2</v>
      </c>
      <c r="H12" s="293">
        <f t="shared" si="4"/>
        <v>0.15017080595858978</v>
      </c>
      <c r="I12" s="293">
        <f t="shared" si="4"/>
        <v>7.217326032490079E-2</v>
      </c>
      <c r="J12" s="293">
        <f t="shared" si="4"/>
        <v>0.17685731666856297</v>
      </c>
      <c r="K12" s="293">
        <f t="shared" si="4"/>
        <v>5.7351156312523521E-2</v>
      </c>
      <c r="L12" s="293">
        <f t="shared" si="4"/>
        <v>3.7472196710111927E-2</v>
      </c>
      <c r="M12" s="293">
        <f t="shared" si="4"/>
        <v>0.16705089427662956</v>
      </c>
      <c r="N12" s="248">
        <f t="shared" ref="N12" si="5">(N11/N10)-1</f>
        <v>8.4690876280686611E-2</v>
      </c>
    </row>
    <row r="13" spans="1:17" x14ac:dyDescent="0.25">
      <c r="A13" s="212" t="s">
        <v>65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</row>
    <row r="14" spans="1:17" x14ac:dyDescent="0.25">
      <c r="A14" s="212">
        <v>2017</v>
      </c>
      <c r="B14" s="230">
        <v>565059.97000000009</v>
      </c>
      <c r="C14" s="231">
        <v>455340.12999999995</v>
      </c>
      <c r="D14" s="231">
        <v>417819.99999999994</v>
      </c>
      <c r="E14" s="231">
        <v>393319.99999999988</v>
      </c>
      <c r="F14" s="231">
        <v>510600.33</v>
      </c>
      <c r="G14" s="231">
        <v>475780.1100000001</v>
      </c>
      <c r="H14" s="231">
        <v>439540.02999999985</v>
      </c>
      <c r="I14" s="231">
        <v>459579.98999999993</v>
      </c>
      <c r="J14" s="231">
        <v>511720.00999999995</v>
      </c>
      <c r="K14" s="231">
        <v>476500.01</v>
      </c>
      <c r="L14" s="231">
        <v>442320.01999999996</v>
      </c>
      <c r="M14" s="231">
        <v>394320.00000000006</v>
      </c>
      <c r="N14" s="254">
        <f>SUM(B14:M14)</f>
        <v>5541900.5999999987</v>
      </c>
    </row>
    <row r="15" spans="1:17" x14ac:dyDescent="0.25">
      <c r="A15" s="212">
        <v>2018</v>
      </c>
      <c r="B15" s="230">
        <v>665919.99</v>
      </c>
      <c r="C15" s="231">
        <v>362839.65</v>
      </c>
      <c r="D15" s="231">
        <v>451140.36999999994</v>
      </c>
      <c r="E15" s="231">
        <v>461399.97999999986</v>
      </c>
      <c r="F15" s="231">
        <v>441439.95</v>
      </c>
      <c r="G15" s="231">
        <v>445120.02999999985</v>
      </c>
      <c r="H15" s="231">
        <v>494700</v>
      </c>
      <c r="I15" s="231">
        <v>532180.97</v>
      </c>
      <c r="J15" s="231">
        <v>428980</v>
      </c>
      <c r="K15" s="231">
        <v>455039.99000000011</v>
      </c>
      <c r="L15" s="231">
        <v>426259.8000000001</v>
      </c>
      <c r="M15" s="231">
        <v>493020.04000000004</v>
      </c>
      <c r="N15" s="254">
        <f>SUM(B15:M15)</f>
        <v>5658040.7699999996</v>
      </c>
    </row>
    <row r="16" spans="1:17" ht="15.75" thickBot="1" x14ac:dyDescent="0.3">
      <c r="A16" s="212">
        <v>2019</v>
      </c>
      <c r="B16" s="232">
        <v>613340</v>
      </c>
      <c r="C16" s="233">
        <v>429160</v>
      </c>
      <c r="D16" s="233">
        <v>422100</v>
      </c>
      <c r="E16" s="233">
        <f>VIDRE!F48</f>
        <v>464379.98999999993</v>
      </c>
      <c r="F16" s="233">
        <f>VIDRE!G48</f>
        <v>473939.96</v>
      </c>
      <c r="G16" s="233">
        <f>VIDRE!H48</f>
        <v>412300.00000000006</v>
      </c>
      <c r="H16" s="233">
        <f>VIDRE!I48</f>
        <v>549179.96999999974</v>
      </c>
      <c r="I16" s="233">
        <f>VIDRE!J48</f>
        <v>459940.02</v>
      </c>
      <c r="J16" s="233">
        <f>VIDRE!K48</f>
        <v>546939.98999999987</v>
      </c>
      <c r="K16" s="233">
        <f>VIDRE!L48</f>
        <v>542460.10000000009</v>
      </c>
      <c r="L16" s="233">
        <f>VIDRE!M48</f>
        <v>420879.99999999994</v>
      </c>
      <c r="M16" s="233">
        <f>VIDRE!N48</f>
        <v>530479.97</v>
      </c>
      <c r="N16" s="255">
        <f>SUM(B16:M16)</f>
        <v>5865099.9999999991</v>
      </c>
    </row>
    <row r="17" spans="1:14" x14ac:dyDescent="0.25">
      <c r="A17" s="257" t="s">
        <v>78</v>
      </c>
      <c r="B17" s="248">
        <f>(B16/B15)-1</f>
        <v>-7.8958419614344355E-2</v>
      </c>
      <c r="C17" s="248">
        <f t="shared" ref="C17" si="6">(C16/C15)-1</f>
        <v>0.18278142975829681</v>
      </c>
      <c r="D17" s="248">
        <f t="shared" ref="D17:M17" si="7">(D16/D15)-1</f>
        <v>-6.4371029353901377E-2</v>
      </c>
      <c r="E17" s="293">
        <f t="shared" si="7"/>
        <v>6.4586262010675188E-3</v>
      </c>
      <c r="F17" s="293">
        <f t="shared" si="7"/>
        <v>7.3622720372272576E-2</v>
      </c>
      <c r="G17" s="293">
        <f t="shared" si="7"/>
        <v>-7.3732988380684206E-2</v>
      </c>
      <c r="H17" s="293">
        <f t="shared" si="7"/>
        <v>0.11012728926622151</v>
      </c>
      <c r="I17" s="293">
        <f t="shared" si="7"/>
        <v>-0.13574508310584643</v>
      </c>
      <c r="J17" s="293">
        <f t="shared" si="7"/>
        <v>0.27497783113431828</v>
      </c>
      <c r="K17" s="293">
        <f t="shared" si="7"/>
        <v>0.19211522486188515</v>
      </c>
      <c r="L17" s="293">
        <f t="shared" si="7"/>
        <v>-1.2620941500934735E-2</v>
      </c>
      <c r="M17" s="293">
        <f t="shared" si="7"/>
        <v>7.5980542291952169E-2</v>
      </c>
      <c r="N17" s="248">
        <f t="shared" ref="N17" si="8">(N16/N15)-1</f>
        <v>3.6595570519369014E-2</v>
      </c>
    </row>
    <row r="18" spans="1:14" x14ac:dyDescent="0.25">
      <c r="A18" s="212" t="s">
        <v>66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</row>
    <row r="19" spans="1:14" x14ac:dyDescent="0.25">
      <c r="A19" s="212">
        <v>2017</v>
      </c>
      <c r="B19" s="215">
        <v>1134540</v>
      </c>
      <c r="C19" s="216">
        <v>1119440</v>
      </c>
      <c r="D19" s="216">
        <v>1153520</v>
      </c>
      <c r="E19" s="216">
        <v>1200540</v>
      </c>
      <c r="F19" s="216">
        <v>1276000</v>
      </c>
      <c r="G19" s="216">
        <v>1270280</v>
      </c>
      <c r="H19" s="216">
        <v>1249100</v>
      </c>
      <c r="I19" s="216">
        <v>1274940</v>
      </c>
      <c r="J19" s="216">
        <v>1182980</v>
      </c>
      <c r="K19" s="216">
        <v>1229580</v>
      </c>
      <c r="L19" s="216">
        <v>1123760</v>
      </c>
      <c r="M19" s="216">
        <v>1149580</v>
      </c>
      <c r="N19" s="251">
        <f>SUM(B19:M19)</f>
        <v>14364260</v>
      </c>
    </row>
    <row r="20" spans="1:14" x14ac:dyDescent="0.25">
      <c r="A20" s="212">
        <v>2018</v>
      </c>
      <c r="B20" s="215">
        <v>1340779</v>
      </c>
      <c r="C20" s="216">
        <v>1082860</v>
      </c>
      <c r="D20" s="216">
        <v>1324600</v>
      </c>
      <c r="E20" s="216">
        <v>1294260</v>
      </c>
      <c r="F20" s="216">
        <v>1317200</v>
      </c>
      <c r="G20" s="216">
        <v>1336220</v>
      </c>
      <c r="H20" s="216">
        <v>1378020</v>
      </c>
      <c r="I20" s="216">
        <v>1315139</v>
      </c>
      <c r="J20" s="216">
        <v>1240140</v>
      </c>
      <c r="K20" s="216">
        <v>1321720</v>
      </c>
      <c r="L20" s="216">
        <v>1140760</v>
      </c>
      <c r="M20" s="216">
        <v>1115400</v>
      </c>
      <c r="N20" s="251">
        <f>SUM(B20:M20)</f>
        <v>15207098</v>
      </c>
    </row>
    <row r="21" spans="1:14" ht="15.75" thickBot="1" x14ac:dyDescent="0.3">
      <c r="A21" s="212">
        <v>2019</v>
      </c>
      <c r="B21" s="232">
        <v>1037280.0100000001</v>
      </c>
      <c r="C21" s="233">
        <v>988299</v>
      </c>
      <c r="D21" s="233">
        <v>1061900</v>
      </c>
      <c r="E21" s="233">
        <f>RMO!F45</f>
        <v>1040420</v>
      </c>
      <c r="F21" s="233">
        <f>RMO!G45</f>
        <v>1131120</v>
      </c>
      <c r="G21" s="233">
        <f>RMO!H45</f>
        <v>1104280</v>
      </c>
      <c r="H21" s="233">
        <f>RMO!I45</f>
        <v>1196720</v>
      </c>
      <c r="I21" s="233">
        <f>RMO!J45</f>
        <v>1076958.8199999998</v>
      </c>
      <c r="J21" s="233">
        <f>RMO!K45</f>
        <v>1075740</v>
      </c>
      <c r="K21" s="233">
        <f>RMO!L45</f>
        <v>1041840</v>
      </c>
      <c r="L21" s="233">
        <f>RMO!M45</f>
        <v>1021720</v>
      </c>
      <c r="M21" s="233">
        <f>RMO!N45</f>
        <v>1090399.99</v>
      </c>
      <c r="N21" s="255">
        <f>SUM(B21:M21)</f>
        <v>12866677.82</v>
      </c>
    </row>
    <row r="22" spans="1:14" x14ac:dyDescent="0.25">
      <c r="A22" s="257" t="s">
        <v>78</v>
      </c>
      <c r="B22" s="248">
        <f>(B21/B20)-1</f>
        <v>-0.22636019060561052</v>
      </c>
      <c r="C22" s="248">
        <f t="shared" ref="C22" si="9">(C21/C20)-1</f>
        <v>-8.7325231331843445E-2</v>
      </c>
      <c r="D22" s="248">
        <f t="shared" ref="D22:M22" si="10">(D21/D20)-1</f>
        <v>-0.1983240223463687</v>
      </c>
      <c r="E22" s="293">
        <f t="shared" si="10"/>
        <v>-0.19612751688223384</v>
      </c>
      <c r="F22" s="293">
        <f t="shared" si="10"/>
        <v>-0.14126935924688733</v>
      </c>
      <c r="G22" s="293">
        <f t="shared" si="10"/>
        <v>-0.17357920102977054</v>
      </c>
      <c r="H22" s="293">
        <f t="shared" si="10"/>
        <v>-0.13156557959971549</v>
      </c>
      <c r="I22" s="293">
        <f t="shared" si="10"/>
        <v>-0.18110646859381418</v>
      </c>
      <c r="J22" s="293">
        <f t="shared" si="10"/>
        <v>-0.1325656780686052</v>
      </c>
      <c r="K22" s="293">
        <f t="shared" si="10"/>
        <v>-0.21175438065550944</v>
      </c>
      <c r="L22" s="293">
        <f t="shared" si="10"/>
        <v>-0.10435148497492897</v>
      </c>
      <c r="M22" s="293">
        <f t="shared" si="10"/>
        <v>-2.2413492917339073E-2</v>
      </c>
      <c r="N22" s="248">
        <f t="shared" ref="N22" si="11">(N21/N20)-1</f>
        <v>-0.15390314312434894</v>
      </c>
    </row>
    <row r="23" spans="1:14" x14ac:dyDescent="0.25">
      <c r="A23" s="212" t="s">
        <v>67</v>
      </c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</row>
    <row r="24" spans="1:14" x14ac:dyDescent="0.25">
      <c r="A24" s="212">
        <v>2017</v>
      </c>
      <c r="B24" s="215">
        <v>375440.00000000006</v>
      </c>
      <c r="C24" s="216">
        <v>429180</v>
      </c>
      <c r="D24" s="216">
        <v>526579.5</v>
      </c>
      <c r="E24" s="216">
        <v>523220</v>
      </c>
      <c r="F24" s="216">
        <v>556680</v>
      </c>
      <c r="G24" s="216">
        <v>530059.36</v>
      </c>
      <c r="H24" s="216">
        <v>540060</v>
      </c>
      <c r="I24" s="216">
        <v>490059.99999999994</v>
      </c>
      <c r="J24" s="216">
        <v>470480</v>
      </c>
      <c r="K24" s="216">
        <v>478960</v>
      </c>
      <c r="L24" s="216">
        <v>456300</v>
      </c>
      <c r="M24" s="216">
        <v>435505.00000000006</v>
      </c>
      <c r="N24" s="251">
        <f>SUM(B24:M24)</f>
        <v>5812523.8599999994</v>
      </c>
    </row>
    <row r="25" spans="1:14" x14ac:dyDescent="0.25">
      <c r="A25" s="212">
        <v>2018</v>
      </c>
      <c r="B25" s="246">
        <v>434371</v>
      </c>
      <c r="C25" s="247">
        <v>373740.01</v>
      </c>
      <c r="D25" s="247">
        <v>483000</v>
      </c>
      <c r="E25" s="247">
        <v>516380</v>
      </c>
      <c r="F25" s="247">
        <v>545080.01</v>
      </c>
      <c r="G25" s="247">
        <v>526860</v>
      </c>
      <c r="H25" s="247">
        <v>519200</v>
      </c>
      <c r="I25" s="247">
        <v>483280.00000000006</v>
      </c>
      <c r="J25" s="247">
        <v>463520</v>
      </c>
      <c r="K25" s="247">
        <v>461940</v>
      </c>
      <c r="L25" s="247">
        <v>434380.00000000006</v>
      </c>
      <c r="M25" s="247">
        <v>455420.01</v>
      </c>
      <c r="N25" s="256">
        <f>SUM(B25:M25)</f>
        <v>5697171.0299999993</v>
      </c>
    </row>
    <row r="26" spans="1:14" ht="15.75" thickBot="1" x14ac:dyDescent="0.3">
      <c r="A26" s="212">
        <v>2019</v>
      </c>
      <c r="B26" s="232">
        <v>405240</v>
      </c>
      <c r="C26" s="233">
        <v>382840</v>
      </c>
      <c r="D26" s="233">
        <v>437290</v>
      </c>
      <c r="E26" s="233">
        <f>FORM!F45</f>
        <v>452979.99</v>
      </c>
      <c r="F26" s="233">
        <f>FORM!G45</f>
        <v>513380</v>
      </c>
      <c r="G26" s="233">
        <f>FORM!H45</f>
        <v>485940.01</v>
      </c>
      <c r="H26" s="233">
        <f>FORM!I45</f>
        <v>532980.03</v>
      </c>
      <c r="I26" s="233">
        <f>FORM!J45</f>
        <v>474860</v>
      </c>
      <c r="J26" s="233">
        <f>FORM!K45</f>
        <v>485100</v>
      </c>
      <c r="K26" s="233">
        <f>FORM!L45</f>
        <v>472620</v>
      </c>
      <c r="L26" s="233">
        <f>FORM!M45</f>
        <v>436300</v>
      </c>
      <c r="M26" s="233">
        <f>FORM!N45</f>
        <v>479600.01</v>
      </c>
      <c r="N26" s="255">
        <f>SUM(B26:M26)</f>
        <v>5559130.04</v>
      </c>
    </row>
    <row r="27" spans="1:14" x14ac:dyDescent="0.25">
      <c r="A27" s="257" t="s">
        <v>78</v>
      </c>
      <c r="B27" s="248">
        <f>(B26/B25)-1</f>
        <v>-6.7064790236917249E-2</v>
      </c>
      <c r="C27" s="248">
        <f t="shared" ref="C27" si="12">(C26/C25)-1</f>
        <v>2.4348450143188982E-2</v>
      </c>
      <c r="D27" s="248">
        <f t="shared" ref="D27:M27" si="13">(D26/D25)-1</f>
        <v>-9.4637681159420284E-2</v>
      </c>
      <c r="E27" s="293">
        <f t="shared" si="13"/>
        <v>-0.12277781866067627</v>
      </c>
      <c r="F27" s="293">
        <f t="shared" si="13"/>
        <v>-5.8156618144921568E-2</v>
      </c>
      <c r="G27" s="293">
        <f t="shared" si="13"/>
        <v>-7.7667672626504203E-2</v>
      </c>
      <c r="H27" s="293">
        <f t="shared" si="13"/>
        <v>2.6540889830508618E-2</v>
      </c>
      <c r="I27" s="293">
        <f t="shared" si="13"/>
        <v>-1.7422612150306382E-2</v>
      </c>
      <c r="J27" s="293">
        <f t="shared" si="13"/>
        <v>4.6556782878840242E-2</v>
      </c>
      <c r="K27" s="293">
        <f t="shared" si="13"/>
        <v>2.3119885699441456E-2</v>
      </c>
      <c r="L27" s="293">
        <f t="shared" si="13"/>
        <v>4.4200930061235599E-3</v>
      </c>
      <c r="M27" s="293">
        <f t="shared" si="13"/>
        <v>5.3093846271708545E-2</v>
      </c>
      <c r="N27" s="248">
        <f t="shared" ref="N27" si="14">(N26/N25)-1</f>
        <v>-2.4229743020370509E-2</v>
      </c>
    </row>
  </sheetData>
  <pageMargins left="0.70866141732283472" right="0.70866141732283472" top="0.86" bottom="0.56000000000000005" header="0.19685039370078741" footer="0.31496062992125984"/>
  <pageSetup paperSize="9" scale="80" orientation="landscape" r:id="rId1"/>
  <headerFooter>
    <oddHeader>&amp;L&amp;G&amp;C&amp;F&amp;R&amp;G</oddHeader>
    <oddFooter>&amp;L&amp;D&amp;C&amp;A&amp;R&amp;P de &amp;N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O51"/>
  <sheetViews>
    <sheetView showZeros="0" zoomScale="90" zoomScaleNormal="90" workbookViewId="0">
      <selection activeCell="F41" sqref="F41"/>
    </sheetView>
  </sheetViews>
  <sheetFormatPr baseColWidth="10" defaultColWidth="11.42578125" defaultRowHeight="15" x14ac:dyDescent="0.25"/>
  <cols>
    <col min="1" max="1" width="5.7109375" style="3" customWidth="1"/>
    <col min="2" max="2" width="26.140625" style="3" bestFit="1" customWidth="1"/>
    <col min="3" max="6" width="11.42578125" style="2"/>
    <col min="7" max="10" width="11.42578125" style="2" customWidth="1"/>
    <col min="11" max="11" width="11.85546875" style="2" customWidth="1"/>
    <col min="12" max="12" width="11.42578125" style="2" customWidth="1"/>
    <col min="13" max="13" width="12.5703125" style="2" customWidth="1"/>
    <col min="14" max="14" width="12.28515625" style="2" customWidth="1"/>
    <col min="15" max="15" width="11.42578125" style="2"/>
    <col min="16" max="16384" width="11.42578125" style="3"/>
  </cols>
  <sheetData>
    <row r="2" spans="1:15" ht="15.75" x14ac:dyDescent="0.25">
      <c r="B2" s="1" t="s">
        <v>70</v>
      </c>
    </row>
    <row r="3" spans="1:15" ht="15.75" thickBot="1" x14ac:dyDescent="0.3">
      <c r="C3" s="4" t="s">
        <v>69</v>
      </c>
    </row>
    <row r="4" spans="1:15" ht="15.75" thickBot="1" x14ac:dyDescent="0.3">
      <c r="A4" s="8" t="s">
        <v>61</v>
      </c>
      <c r="B4" s="22" t="s">
        <v>57</v>
      </c>
      <c r="C4" s="42" t="s">
        <v>26</v>
      </c>
      <c r="D4" s="6" t="s">
        <v>27</v>
      </c>
      <c r="E4" s="6" t="s">
        <v>28</v>
      </c>
      <c r="F4" s="6" t="s">
        <v>29</v>
      </c>
      <c r="G4" s="6" t="s">
        <v>30</v>
      </c>
      <c r="H4" s="6" t="s">
        <v>31</v>
      </c>
      <c r="I4" s="6" t="s">
        <v>32</v>
      </c>
      <c r="J4" s="6" t="s">
        <v>33</v>
      </c>
      <c r="K4" s="6" t="s">
        <v>34</v>
      </c>
      <c r="L4" s="6" t="s">
        <v>35</v>
      </c>
      <c r="M4" s="6" t="s">
        <v>36</v>
      </c>
      <c r="N4" s="38" t="s">
        <v>37</v>
      </c>
      <c r="O4" s="8" t="s">
        <v>38</v>
      </c>
    </row>
    <row r="5" spans="1:15" x14ac:dyDescent="0.25">
      <c r="A5" s="40">
        <v>1</v>
      </c>
      <c r="B5" s="45" t="s">
        <v>39</v>
      </c>
      <c r="C5" s="43">
        <f>11595.65+710</f>
        <v>12305.65</v>
      </c>
      <c r="D5" s="34">
        <f>9054.48+546.67</f>
        <v>9601.15</v>
      </c>
      <c r="E5" s="34">
        <f>916.67+10286.64</f>
        <v>11203.31</v>
      </c>
      <c r="F5" s="34">
        <f>590+11988.89</f>
        <v>12578.89</v>
      </c>
      <c r="G5" s="34">
        <f>1560+12845.88</f>
        <v>14405.88</v>
      </c>
      <c r="H5" s="34">
        <f>2000+11623.3</f>
        <v>13623.3</v>
      </c>
      <c r="I5" s="34">
        <f>2253.33+14327.91</f>
        <v>16581.239999999998</v>
      </c>
      <c r="J5" s="34">
        <f>1645+12306.43</f>
        <v>13951.43</v>
      </c>
      <c r="K5" s="34">
        <f>1195+12008.74</f>
        <v>13203.74</v>
      </c>
      <c r="L5" s="34">
        <v>14491.43</v>
      </c>
      <c r="M5" s="34">
        <f>510+12427.03</f>
        <v>12937.03</v>
      </c>
      <c r="N5" s="35">
        <f>965+14584.44</f>
        <v>15549.44</v>
      </c>
      <c r="O5" s="237">
        <f>SUM(Tabla2[[#This Row],[Gener]:[Desembre]])</f>
        <v>160432.49</v>
      </c>
    </row>
    <row r="6" spans="1:15" x14ac:dyDescent="0.25">
      <c r="A6" s="13">
        <v>2</v>
      </c>
      <c r="B6" s="46" t="s">
        <v>0</v>
      </c>
      <c r="C6" s="221">
        <f>9100+580</f>
        <v>9680</v>
      </c>
      <c r="D6" s="11">
        <f>6800+250</f>
        <v>7050</v>
      </c>
      <c r="E6" s="11">
        <f>400+7520</f>
        <v>7920</v>
      </c>
      <c r="F6" s="11">
        <f>360+8716.11</f>
        <v>9076.11</v>
      </c>
      <c r="G6" s="11">
        <f>1090+10740</f>
        <v>11830</v>
      </c>
      <c r="H6" s="11">
        <f>1260+9180.69</f>
        <v>10440.69</v>
      </c>
      <c r="I6" s="11">
        <f>2105.2+11760</f>
        <v>13865.2</v>
      </c>
      <c r="J6" s="11">
        <f>856+9941.65</f>
        <v>10797.65</v>
      </c>
      <c r="K6" s="34">
        <f>975.56+10745.4</f>
        <v>11720.96</v>
      </c>
      <c r="L6" s="11">
        <v>12201.55</v>
      </c>
      <c r="M6" s="11">
        <f>230+9705</f>
        <v>9935</v>
      </c>
      <c r="N6" s="33">
        <f>732+14020</f>
        <v>14752</v>
      </c>
      <c r="O6" s="238">
        <f>SUM(Tabla2[[#This Row],[Gener]:[Desembre]])</f>
        <v>129269.15999999999</v>
      </c>
    </row>
    <row r="7" spans="1:15" x14ac:dyDescent="0.25">
      <c r="A7" s="13">
        <v>3</v>
      </c>
      <c r="B7" s="46" t="s">
        <v>1</v>
      </c>
      <c r="C7" s="221">
        <f>33648.91+460</f>
        <v>34108.910000000003</v>
      </c>
      <c r="D7" s="11">
        <f>27703.46+460</f>
        <v>28163.46</v>
      </c>
      <c r="E7" s="11">
        <f>106.67+28822.15</f>
        <v>28928.82</v>
      </c>
      <c r="F7" s="11">
        <f>260+32854.82</f>
        <v>33114.82</v>
      </c>
      <c r="G7" s="11">
        <f>446.67+33748.26</f>
        <v>34194.93</v>
      </c>
      <c r="H7" s="11">
        <f>700+32570.69</f>
        <v>33270.69</v>
      </c>
      <c r="I7" s="11">
        <f>400+38307.27</f>
        <v>38707.269999999997</v>
      </c>
      <c r="J7" s="11">
        <f>1210+33151.37</f>
        <v>34361.370000000003</v>
      </c>
      <c r="K7" s="34">
        <f>260+36501.7</f>
        <v>36761.699999999997</v>
      </c>
      <c r="L7" s="11">
        <v>34900.6</v>
      </c>
      <c r="M7" s="11">
        <f>470+33855.05</f>
        <v>34325.050000000003</v>
      </c>
      <c r="N7" s="33">
        <f>1020+40464.6</f>
        <v>41484.6</v>
      </c>
      <c r="O7" s="238">
        <f>SUM(Tabla2[[#This Row],[Gener]:[Desembre]])</f>
        <v>412322.22</v>
      </c>
    </row>
    <row r="8" spans="1:15" x14ac:dyDescent="0.25">
      <c r="A8" s="13">
        <v>4</v>
      </c>
      <c r="B8" s="46" t="s">
        <v>2</v>
      </c>
      <c r="C8" s="221">
        <f>1124.24</f>
        <v>1124.24</v>
      </c>
      <c r="D8" s="11">
        <f>917.74</f>
        <v>917.74</v>
      </c>
      <c r="E8" s="11">
        <v>1183.0999999999999</v>
      </c>
      <c r="F8" s="11">
        <v>1511.59</v>
      </c>
      <c r="G8" s="11">
        <v>1141.01</v>
      </c>
      <c r="H8" s="11">
        <v>1187.71</v>
      </c>
      <c r="I8" s="11">
        <v>1352.74</v>
      </c>
      <c r="J8" s="11">
        <v>1243.57</v>
      </c>
      <c r="K8" s="34">
        <v>1153.8499999999999</v>
      </c>
      <c r="L8" s="11">
        <v>1610.26</v>
      </c>
      <c r="M8" s="11">
        <v>2059.41</v>
      </c>
      <c r="N8" s="33">
        <v>1453.99</v>
      </c>
      <c r="O8" s="238">
        <f>SUM(Tabla2[[#This Row],[Gener]:[Desembre]])</f>
        <v>15939.210000000001</v>
      </c>
    </row>
    <row r="9" spans="1:15" x14ac:dyDescent="0.25">
      <c r="A9" s="13">
        <v>5</v>
      </c>
      <c r="B9" s="46" t="s">
        <v>3</v>
      </c>
      <c r="C9" s="221">
        <f>12892.89+243.33</f>
        <v>13136.22</v>
      </c>
      <c r="D9" s="11">
        <f>11668.03+540</f>
        <v>12208.03</v>
      </c>
      <c r="E9" s="11">
        <f>274.67+10316.69</f>
        <v>10591.36</v>
      </c>
      <c r="F9" s="11">
        <f>530+11571.77</f>
        <v>12101.77</v>
      </c>
      <c r="G9" s="11">
        <f>293.33+15056.13</f>
        <v>15349.46</v>
      </c>
      <c r="H9" s="11">
        <f>840+12323.45</f>
        <v>13163.45</v>
      </c>
      <c r="I9" s="11">
        <f>825+15141.7</f>
        <v>15966.7</v>
      </c>
      <c r="J9" s="11">
        <f>650+14668.47</f>
        <v>15318.47</v>
      </c>
      <c r="K9" s="34">
        <f>453.33+14754.21</f>
        <v>15207.539999999999</v>
      </c>
      <c r="L9" s="11">
        <v>15788.08</v>
      </c>
      <c r="M9" s="11">
        <f>253.33+13463.46</f>
        <v>13716.789999999999</v>
      </c>
      <c r="N9" s="33">
        <f>540+19637.91</f>
        <v>20177.91</v>
      </c>
      <c r="O9" s="238">
        <f>SUM(Tabla2[[#This Row],[Gener]:[Desembre]])</f>
        <v>172725.78</v>
      </c>
    </row>
    <row r="10" spans="1:15" x14ac:dyDescent="0.25">
      <c r="A10" s="13">
        <v>6</v>
      </c>
      <c r="B10" s="46" t="s">
        <v>4</v>
      </c>
      <c r="C10" s="221">
        <f>30563.77+1986.67</f>
        <v>32550.440000000002</v>
      </c>
      <c r="D10" s="11">
        <f>23836.55+1200</f>
        <v>25036.55</v>
      </c>
      <c r="E10" s="11">
        <f>816.67+27194.33</f>
        <v>28011</v>
      </c>
      <c r="F10" s="11">
        <f>860+28960.54</f>
        <v>29820.54</v>
      </c>
      <c r="G10" s="11">
        <f>1596.67+30367.43</f>
        <v>31964.1</v>
      </c>
      <c r="H10" s="11">
        <f>1310+30528.67</f>
        <v>31838.67</v>
      </c>
      <c r="I10" s="11">
        <f>2320+34846.64</f>
        <v>37166.639999999999</v>
      </c>
      <c r="J10" s="11">
        <f>653.33+32349.15</f>
        <v>33002.480000000003</v>
      </c>
      <c r="K10" s="34">
        <f>1645+31624.09</f>
        <v>33269.089999999997</v>
      </c>
      <c r="L10" s="11">
        <v>30629.1</v>
      </c>
      <c r="M10" s="11">
        <f>1455+27076.03</f>
        <v>28531.03</v>
      </c>
      <c r="N10" s="33">
        <f>2279.8+32628.56</f>
        <v>34908.36</v>
      </c>
      <c r="O10" s="238">
        <f>SUM(Tabla2[[#This Row],[Gener]:[Desembre]])</f>
        <v>376728</v>
      </c>
    </row>
    <row r="11" spans="1:15" x14ac:dyDescent="0.25">
      <c r="A11" s="13">
        <v>7</v>
      </c>
      <c r="B11" s="46" t="s">
        <v>60</v>
      </c>
      <c r="C11" s="221"/>
      <c r="D11" s="11"/>
      <c r="E11" s="11"/>
      <c r="F11" s="11"/>
      <c r="G11" s="11"/>
      <c r="H11" s="11"/>
      <c r="I11" s="11"/>
      <c r="J11" s="11"/>
      <c r="K11" s="34"/>
      <c r="L11" s="11"/>
      <c r="M11" s="11"/>
      <c r="N11" s="33"/>
      <c r="O11" s="238"/>
    </row>
    <row r="12" spans="1:15" x14ac:dyDescent="0.25">
      <c r="A12" s="13">
        <v>8</v>
      </c>
      <c r="B12" s="47" t="s">
        <v>7</v>
      </c>
      <c r="C12" s="221">
        <f>1761.71</f>
        <v>1761.71</v>
      </c>
      <c r="D12" s="11">
        <f>1619.43</f>
        <v>1619.43</v>
      </c>
      <c r="E12" s="11">
        <v>2026.98</v>
      </c>
      <c r="F12" s="11">
        <v>2688.9</v>
      </c>
      <c r="G12" s="11">
        <v>1991.24</v>
      </c>
      <c r="H12" s="11">
        <v>2212.4</v>
      </c>
      <c r="I12" s="11">
        <v>2561.1999999999998</v>
      </c>
      <c r="J12" s="11">
        <v>1979.23</v>
      </c>
      <c r="K12" s="34">
        <v>1707.24</v>
      </c>
      <c r="L12" s="11">
        <v>2594.63</v>
      </c>
      <c r="M12" s="11">
        <v>2598.08</v>
      </c>
      <c r="N12" s="33">
        <v>2266.66</v>
      </c>
      <c r="O12" s="239">
        <f>SUM(Tabla2[[#This Row],[Gener]:[Desembre]])</f>
        <v>26007.7</v>
      </c>
    </row>
    <row r="13" spans="1:15" x14ac:dyDescent="0.25">
      <c r="A13" s="13">
        <v>9</v>
      </c>
      <c r="B13" s="46" t="s">
        <v>40</v>
      </c>
      <c r="C13" s="22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238">
        <f>SUM(Tabla2[[#This Row],[Gener]:[Desembre]])</f>
        <v>0</v>
      </c>
    </row>
    <row r="14" spans="1:15" x14ac:dyDescent="0.25">
      <c r="A14" s="13">
        <v>10</v>
      </c>
      <c r="B14" s="45" t="s">
        <v>41</v>
      </c>
      <c r="C14" s="221">
        <f>22884.61+1260+300</f>
        <v>24444.61</v>
      </c>
      <c r="D14" s="11">
        <f>21219.47+400+520</f>
        <v>22139.47</v>
      </c>
      <c r="E14" s="11">
        <f>1010+23625.64+480</f>
        <v>25115.64</v>
      </c>
      <c r="F14" s="11">
        <f>720+24533.46+830</f>
        <v>26083.46</v>
      </c>
      <c r="G14" s="11">
        <f>1020+1080+27146.03</f>
        <v>29246.03</v>
      </c>
      <c r="H14" s="11">
        <f>760+940+24004.65</f>
        <v>25704.65</v>
      </c>
      <c r="I14" s="11">
        <f>1685+60+1140+28739.35</f>
        <v>31624.35</v>
      </c>
      <c r="J14" s="11">
        <f>946.67+1020+27036.09</f>
        <v>29002.760000000002</v>
      </c>
      <c r="K14" s="34">
        <f>940+30802.39+790</f>
        <v>32532.39</v>
      </c>
      <c r="L14" s="11">
        <v>25914.52</v>
      </c>
      <c r="M14" s="11">
        <f>1060+26008.15+660</f>
        <v>27728.15</v>
      </c>
      <c r="N14" s="33">
        <f>1960+660+30043.74</f>
        <v>32663.74</v>
      </c>
      <c r="O14" s="237">
        <f>SUM(Tabla2[[#This Row],[Gener]:[Desembre]])</f>
        <v>332199.77</v>
      </c>
    </row>
    <row r="15" spans="1:15" x14ac:dyDescent="0.25">
      <c r="A15" s="13">
        <v>11</v>
      </c>
      <c r="B15" s="46" t="s">
        <v>9</v>
      </c>
      <c r="C15" s="221">
        <f>67708.78+4623.33</f>
        <v>72332.11</v>
      </c>
      <c r="D15" s="11">
        <f>54717.46+3653.33</f>
        <v>58370.79</v>
      </c>
      <c r="E15" s="11">
        <f>3685.33+60555.81</f>
        <v>64241.14</v>
      </c>
      <c r="F15" s="11">
        <f>5260+67985.37</f>
        <v>73245.37</v>
      </c>
      <c r="G15" s="11">
        <f>7753.33+71396.31</f>
        <v>79149.64</v>
      </c>
      <c r="H15" s="11">
        <f>6670+3700+74339.32</f>
        <v>84709.32</v>
      </c>
      <c r="I15" s="11">
        <f>9817.48+86858.01</f>
        <v>96675.489999999991</v>
      </c>
      <c r="J15" s="11">
        <f>12130.67+71990.49</f>
        <v>84121.16</v>
      </c>
      <c r="K15" s="34">
        <f>11699.29+84576.89</f>
        <v>96276.18</v>
      </c>
      <c r="L15" s="11">
        <v>105756.58</v>
      </c>
      <c r="M15" s="11">
        <f>8461.96+60+63616.73+36860</f>
        <v>108998.69</v>
      </c>
      <c r="N15" s="33">
        <f>10162.2+71180+45972.84</f>
        <v>127315.04</v>
      </c>
      <c r="O15" s="238">
        <f>SUM(Tabla2[[#This Row],[Gener]:[Desembre]])</f>
        <v>1051191.51</v>
      </c>
    </row>
    <row r="16" spans="1:15" x14ac:dyDescent="0.25">
      <c r="A16" s="13">
        <v>12</v>
      </c>
      <c r="B16" s="46" t="s">
        <v>10</v>
      </c>
      <c r="C16" s="221">
        <f>5004.47+46.67</f>
        <v>5051.1400000000003</v>
      </c>
      <c r="D16" s="11">
        <f>3725.22+87.62</f>
        <v>3812.8399999999997</v>
      </c>
      <c r="E16" s="11">
        <f>152.62+3661.02</f>
        <v>3813.64</v>
      </c>
      <c r="F16" s="11">
        <f>114.67+4001.46</f>
        <v>4116.13</v>
      </c>
      <c r="G16" s="11">
        <f>153.43+4325.46</f>
        <v>4478.8900000000003</v>
      </c>
      <c r="H16" s="11">
        <f>517.38+3572.86</f>
        <v>4090.2400000000002</v>
      </c>
      <c r="I16" s="11">
        <f>378.85+5209.5</f>
        <v>5588.35</v>
      </c>
      <c r="J16" s="11">
        <f>348.57+3405.71</f>
        <v>3754.28</v>
      </c>
      <c r="K16" s="34">
        <f>163.08+4288.13</f>
        <v>4451.21</v>
      </c>
      <c r="L16" s="11">
        <v>5661.9</v>
      </c>
      <c r="M16" s="11">
        <f>46.67+3042.9</f>
        <v>3089.57</v>
      </c>
      <c r="N16" s="33">
        <f>721.69+4265.3</f>
        <v>4986.99</v>
      </c>
      <c r="O16" s="238">
        <f>SUM(Tabla2[[#This Row],[Gener]:[Desembre]])</f>
        <v>52895.18</v>
      </c>
    </row>
    <row r="17" spans="1:15" x14ac:dyDescent="0.25">
      <c r="A17" s="13">
        <v>13</v>
      </c>
      <c r="B17" s="46" t="s">
        <v>42</v>
      </c>
      <c r="C17" s="221">
        <f>12398.63+280</f>
        <v>12678.63</v>
      </c>
      <c r="D17" s="11">
        <f>10870.7+60</f>
        <v>10930.7</v>
      </c>
      <c r="E17" s="11">
        <f>140+11653.47</f>
        <v>11793.47</v>
      </c>
      <c r="F17" s="11">
        <f>253.33+12891.28</f>
        <v>13144.61</v>
      </c>
      <c r="G17" s="11">
        <f>366.67+13167.75</f>
        <v>13534.42</v>
      </c>
      <c r="H17" s="11">
        <f>306.67+13778.71</f>
        <v>14085.38</v>
      </c>
      <c r="I17" s="11">
        <f>271.67+19633.98</f>
        <v>19905.649999999998</v>
      </c>
      <c r="J17" s="11">
        <f>317.69+14171.76</f>
        <v>14489.45</v>
      </c>
      <c r="K17" s="34">
        <f>1034.51+17019.87</f>
        <v>18054.379999999997</v>
      </c>
      <c r="L17" s="11">
        <v>18300.2</v>
      </c>
      <c r="M17" s="11">
        <f>310+16146.22</f>
        <v>16456.22</v>
      </c>
      <c r="N17" s="33">
        <f>1350+20954.92</f>
        <v>22304.92</v>
      </c>
      <c r="O17" s="238">
        <f>SUM(Tabla2[[#This Row],[Gener]:[Desembre]])</f>
        <v>185678.03000000003</v>
      </c>
    </row>
    <row r="18" spans="1:15" x14ac:dyDescent="0.25">
      <c r="A18" s="13">
        <v>14</v>
      </c>
      <c r="B18" s="46" t="s">
        <v>11</v>
      </c>
      <c r="C18" s="221"/>
      <c r="D18" s="11"/>
      <c r="E18" s="11"/>
      <c r="F18" s="11"/>
      <c r="G18" s="11"/>
      <c r="H18" s="11"/>
      <c r="I18" s="11"/>
      <c r="J18" s="11"/>
      <c r="K18" s="34"/>
      <c r="L18" s="11"/>
      <c r="M18" s="11"/>
      <c r="N18" s="33"/>
      <c r="O18" s="238">
        <f>SUM(Tabla2[[#This Row],[Gener]:[Desembre]])</f>
        <v>0</v>
      </c>
    </row>
    <row r="19" spans="1:15" x14ac:dyDescent="0.25">
      <c r="A19" s="13">
        <v>15</v>
      </c>
      <c r="B19" s="46" t="s">
        <v>12</v>
      </c>
      <c r="C19" s="221">
        <f>11092.31+480</f>
        <v>11572.31</v>
      </c>
      <c r="D19" s="11">
        <f>11514.36+200</f>
        <v>11714.36</v>
      </c>
      <c r="E19" s="11">
        <f>230+8315.5</f>
        <v>8545.5</v>
      </c>
      <c r="F19" s="11">
        <f>130+9208.96</f>
        <v>9338.9599999999991</v>
      </c>
      <c r="G19" s="11">
        <f>340+11487.66</f>
        <v>11827.66</v>
      </c>
      <c r="H19" s="11">
        <f>140+10528.8</f>
        <v>10668.8</v>
      </c>
      <c r="I19" s="11">
        <f>242.78+10118.39</f>
        <v>10361.17</v>
      </c>
      <c r="J19" s="11">
        <f>70+12448.29</f>
        <v>12518.29</v>
      </c>
      <c r="K19" s="34">
        <f>160+10119.52</f>
        <v>10279.52</v>
      </c>
      <c r="L19" s="11">
        <v>12795.97</v>
      </c>
      <c r="M19" s="11">
        <f>220+9360.99</f>
        <v>9580.99</v>
      </c>
      <c r="N19" s="33">
        <f>95+11449.11</f>
        <v>11544.11</v>
      </c>
      <c r="O19" s="238">
        <f>SUM(Tabla2[[#This Row],[Gener]:[Desembre]])</f>
        <v>130747.64</v>
      </c>
    </row>
    <row r="20" spans="1:15" x14ac:dyDescent="0.25">
      <c r="A20" s="13">
        <v>16</v>
      </c>
      <c r="B20" s="46" t="s">
        <v>13</v>
      </c>
      <c r="C20" s="221"/>
      <c r="D20" s="11"/>
      <c r="E20" s="11"/>
      <c r="F20" s="11"/>
      <c r="G20" s="11"/>
      <c r="H20" s="11"/>
      <c r="I20" s="11"/>
      <c r="J20" s="11"/>
      <c r="K20" s="34"/>
      <c r="L20" s="11"/>
      <c r="M20" s="11"/>
      <c r="N20" s="33"/>
      <c r="O20" s="238">
        <f>SUM(Tabla2[[#This Row],[Gener]:[Desembre]])</f>
        <v>0</v>
      </c>
    </row>
    <row r="21" spans="1:15" x14ac:dyDescent="0.25">
      <c r="A21" s="13">
        <v>17</v>
      </c>
      <c r="B21" s="46" t="s">
        <v>14</v>
      </c>
      <c r="C21" s="221">
        <f>10513.29+810.29+245.19+1334.81</f>
        <v>12903.580000000002</v>
      </c>
      <c r="D21" s="11">
        <f>9342.2+535.33+160.67+1379.33</f>
        <v>11417.53</v>
      </c>
      <c r="E21" s="11">
        <f>413.33+10035.39+1080</f>
        <v>11528.72</v>
      </c>
      <c r="F21" s="11">
        <f>565.33+9577.54+111.43+1088.57</f>
        <v>11342.87</v>
      </c>
      <c r="G21" s="11">
        <f>629.67+1100+11185.32</f>
        <v>12914.99</v>
      </c>
      <c r="H21" s="11">
        <f>335.33+333.1+1386.9+11275.36</f>
        <v>13330.69</v>
      </c>
      <c r="I21" s="11">
        <f>589.83+53.33+1266.67+12012.01</f>
        <v>13921.84</v>
      </c>
      <c r="J21" s="11">
        <f>104+62.63+1377.37+10936.42</f>
        <v>12480.42</v>
      </c>
      <c r="K21" s="34">
        <f>340+12327.31+165.38+1254.62</f>
        <v>14087.309999999998</v>
      </c>
      <c r="L21" s="11">
        <v>13471.82</v>
      </c>
      <c r="M21" s="11">
        <f>525+11080.07+54.55+1265.45</f>
        <v>12925.07</v>
      </c>
      <c r="N21" s="33">
        <f>470+151.69+1488.31+14643.12</f>
        <v>16753.120000000003</v>
      </c>
      <c r="O21" s="238">
        <f>SUM(Tabla2[[#This Row],[Gener]:[Desembre]])</f>
        <v>157077.96</v>
      </c>
    </row>
    <row r="22" spans="1:15" x14ac:dyDescent="0.25">
      <c r="A22" s="13">
        <v>18</v>
      </c>
      <c r="B22" s="46" t="s">
        <v>15</v>
      </c>
      <c r="C22" s="221">
        <f>70040.68+5452.33</f>
        <v>75493.009999999995</v>
      </c>
      <c r="D22" s="11">
        <f>59262.62+2518.33</f>
        <v>61780.950000000004</v>
      </c>
      <c r="E22" s="11">
        <f>2776+67307.14</f>
        <v>70083.14</v>
      </c>
      <c r="F22" s="11">
        <f>2354.05+68282.47</f>
        <v>70636.52</v>
      </c>
      <c r="G22" s="11">
        <f>3458.33+74075.87</f>
        <v>77534.2</v>
      </c>
      <c r="H22" s="11">
        <f>2754.67+71442.94</f>
        <v>74197.61</v>
      </c>
      <c r="I22" s="11">
        <f>4334+3740+74830.05</f>
        <v>82904.05</v>
      </c>
      <c r="J22" s="11">
        <f>1368+38500+30932.04</f>
        <v>70800.040000000008</v>
      </c>
      <c r="K22" s="34">
        <f>3099.33+27970.06+49080</f>
        <v>80149.39</v>
      </c>
      <c r="L22" s="11">
        <v>89565.33</v>
      </c>
      <c r="M22" s="11">
        <f>3287.86+12456.04+64860</f>
        <v>80603.899999999994</v>
      </c>
      <c r="N22" s="33">
        <f>8015+82840+15301.16</f>
        <v>106156.16</v>
      </c>
      <c r="O22" s="238">
        <f>SUM(Tabla2[[#This Row],[Gener]:[Desembre]])</f>
        <v>939904.3</v>
      </c>
    </row>
    <row r="23" spans="1:15" x14ac:dyDescent="0.25">
      <c r="A23" s="13">
        <v>19</v>
      </c>
      <c r="B23" s="46" t="s">
        <v>16</v>
      </c>
      <c r="C23" s="221">
        <f>520+13680+1078.31</f>
        <v>15278.31</v>
      </c>
      <c r="D23" s="11">
        <f>25+10220+771.05</f>
        <v>11016.05</v>
      </c>
      <c r="E23" s="11">
        <f>450+12900+578.55</f>
        <v>13928.55</v>
      </c>
      <c r="F23" s="11">
        <f>124+12540+906.98</f>
        <v>13570.98</v>
      </c>
      <c r="G23" s="11">
        <f>680+13440+777.44</f>
        <v>14897.44</v>
      </c>
      <c r="H23" s="11">
        <f>180+12240+629.28</f>
        <v>13049.28</v>
      </c>
      <c r="I23" s="11">
        <f>840+13600+586.93</f>
        <v>15026.93</v>
      </c>
      <c r="J23" s="11">
        <f>240+11120+388.99</f>
        <v>11748.99</v>
      </c>
      <c r="K23" s="34">
        <f>560+171.18+12220+938.33</f>
        <v>13889.51</v>
      </c>
      <c r="L23" s="11">
        <v>15692.27</v>
      </c>
      <c r="M23" s="11">
        <f>227.14+12720+888.96</f>
        <v>13836.099999999999</v>
      </c>
      <c r="N23" s="33">
        <f>735+15760+1035.53</f>
        <v>17530.53</v>
      </c>
      <c r="O23" s="238">
        <f>SUM(Tabla2[[#This Row],[Gener]:[Desembre]])</f>
        <v>169464.94</v>
      </c>
    </row>
    <row r="24" spans="1:15" x14ac:dyDescent="0.25">
      <c r="A24" s="13">
        <v>20</v>
      </c>
      <c r="B24" s="46" t="s">
        <v>17</v>
      </c>
      <c r="C24" s="221"/>
      <c r="D24" s="11"/>
      <c r="E24" s="11"/>
      <c r="F24" s="11"/>
      <c r="G24" s="11"/>
      <c r="H24" s="11"/>
      <c r="I24" s="11"/>
      <c r="J24" s="11"/>
      <c r="K24" s="34"/>
      <c r="L24" s="11"/>
      <c r="M24" s="11"/>
      <c r="N24" s="33"/>
      <c r="O24" s="238">
        <f>SUM(Tabla2[[#This Row],[Gener]:[Desembre]])</f>
        <v>0</v>
      </c>
    </row>
    <row r="25" spans="1:15" x14ac:dyDescent="0.25">
      <c r="A25" s="13">
        <v>21</v>
      </c>
      <c r="B25" s="46" t="s">
        <v>18</v>
      </c>
      <c r="C25" s="221">
        <f>913.52</f>
        <v>913.52</v>
      </c>
      <c r="D25" s="11">
        <f>796.68</f>
        <v>796.68</v>
      </c>
      <c r="E25" s="11">
        <v>954.54</v>
      </c>
      <c r="F25" s="11">
        <v>1397.97</v>
      </c>
      <c r="G25" s="11">
        <v>985.32</v>
      </c>
      <c r="H25" s="11">
        <v>1080.17</v>
      </c>
      <c r="I25" s="11">
        <v>1312.52</v>
      </c>
      <c r="J25" s="11">
        <v>1324.8</v>
      </c>
      <c r="K25" s="34">
        <v>961.56</v>
      </c>
      <c r="L25" s="11">
        <v>1219.58</v>
      </c>
      <c r="M25" s="11">
        <v>1555.23</v>
      </c>
      <c r="N25" s="33">
        <v>1037.6600000000001</v>
      </c>
      <c r="O25" s="238">
        <f>SUM(Tabla2[[#This Row],[Gener]:[Desembre]])</f>
        <v>13539.549999999997</v>
      </c>
    </row>
    <row r="26" spans="1:15" x14ac:dyDescent="0.25">
      <c r="A26" s="13">
        <v>22</v>
      </c>
      <c r="B26" s="46" t="s">
        <v>19</v>
      </c>
      <c r="C26" s="221">
        <f>19774.05+1302.67+360</f>
        <v>21436.720000000001</v>
      </c>
      <c r="D26" s="11">
        <f>16105.25+1046.67+186.67</f>
        <v>17338.589999999997</v>
      </c>
      <c r="E26" s="11">
        <f>970+16156.09+300</f>
        <v>17426.09</v>
      </c>
      <c r="F26" s="11">
        <f>839.3+20731.77+560</f>
        <v>22131.07</v>
      </c>
      <c r="G26" s="11">
        <f>1706+380+19674.89</f>
        <v>21760.89</v>
      </c>
      <c r="H26" s="11">
        <f>770+240+18367.13</f>
        <v>19377.13</v>
      </c>
      <c r="I26" s="11">
        <f>1600.72+820+22293.6</f>
        <v>24714.32</v>
      </c>
      <c r="J26" s="11">
        <f>618+300+17945.81</f>
        <v>18863.810000000001</v>
      </c>
      <c r="K26" s="34">
        <f>19957.76+770+1150</f>
        <v>21877.759999999998</v>
      </c>
      <c r="L26" s="11">
        <v>23196.77</v>
      </c>
      <c r="M26" s="11">
        <f>1305+320+18729.97</f>
        <v>20354.97</v>
      </c>
      <c r="N26" s="33">
        <f>1128+520+23965.55</f>
        <v>25613.55</v>
      </c>
      <c r="O26" s="238">
        <f>SUM(Tabla2[[#This Row],[Gener]:[Desembre]])</f>
        <v>254091.66999999998</v>
      </c>
    </row>
    <row r="27" spans="1:15" x14ac:dyDescent="0.25">
      <c r="A27" s="13">
        <v>23</v>
      </c>
      <c r="B27" s="46" t="s">
        <v>43</v>
      </c>
      <c r="C27" s="221">
        <f>11902.95+790</f>
        <v>12692.95</v>
      </c>
      <c r="D27" s="11">
        <f>7086.8+580</f>
        <v>7666.8</v>
      </c>
      <c r="E27" s="11">
        <f>320+9384.34</f>
        <v>9704.34</v>
      </c>
      <c r="F27" s="11">
        <f>493.33+12250.48</f>
        <v>12743.81</v>
      </c>
      <c r="G27" s="11">
        <f>700+9559.69</f>
        <v>10259.69</v>
      </c>
      <c r="H27" s="11">
        <f>996.67+10505.34</f>
        <v>11502.01</v>
      </c>
      <c r="I27" s="11">
        <f>504.44+9324.45</f>
        <v>9828.8900000000012</v>
      </c>
      <c r="J27" s="11">
        <f>354+10050.35</f>
        <v>10404.35</v>
      </c>
      <c r="K27" s="34">
        <f>675.56+11471.23</f>
        <v>12146.789999999999</v>
      </c>
      <c r="L27" s="11">
        <v>15061.6</v>
      </c>
      <c r="M27" s="11">
        <f>621.37+10496.1</f>
        <v>11117.470000000001</v>
      </c>
      <c r="N27" s="33">
        <f>637.6+15733.94</f>
        <v>16371.54</v>
      </c>
      <c r="O27" s="238">
        <f>SUM(Tabla2[[#This Row],[Gener]:[Desembre]])</f>
        <v>139500.24000000002</v>
      </c>
    </row>
    <row r="28" spans="1:15" x14ac:dyDescent="0.25">
      <c r="A28" s="13">
        <v>24</v>
      </c>
      <c r="B28" s="46" t="s">
        <v>44</v>
      </c>
      <c r="C28" s="226">
        <f>659.18</f>
        <v>659.18</v>
      </c>
      <c r="D28" s="174">
        <f>300.1</f>
        <v>300.10000000000002</v>
      </c>
      <c r="E28" s="174">
        <v>406.78</v>
      </c>
      <c r="F28" s="174">
        <f>606.58</f>
        <v>606.58000000000004</v>
      </c>
      <c r="G28" s="174">
        <v>266.64999999999998</v>
      </c>
      <c r="H28" s="174">
        <v>391.06</v>
      </c>
      <c r="I28" s="227">
        <v>484.38</v>
      </c>
      <c r="J28" s="174">
        <v>300.74</v>
      </c>
      <c r="K28" s="34">
        <v>511.61</v>
      </c>
      <c r="L28" s="11">
        <v>416.29</v>
      </c>
      <c r="M28" s="11">
        <v>303.72000000000003</v>
      </c>
      <c r="N28" s="33">
        <v>519.98</v>
      </c>
      <c r="O28" s="238">
        <f>SUM(Tabla2[[#This Row],[Gener]:[Desembre]])</f>
        <v>5167.0700000000015</v>
      </c>
    </row>
    <row r="29" spans="1:15" x14ac:dyDescent="0.25">
      <c r="A29" s="13">
        <v>25</v>
      </c>
      <c r="B29" s="46" t="s">
        <v>20</v>
      </c>
      <c r="C29" s="221">
        <f>32610.34+700+640</f>
        <v>33950.339999999997</v>
      </c>
      <c r="D29" s="11">
        <f>22651.61+560+440</f>
        <v>23651.61</v>
      </c>
      <c r="E29" s="11">
        <f>440.71+25104+520</f>
        <v>26064.71</v>
      </c>
      <c r="F29" s="11">
        <f>801.33+30713.68+610</f>
        <v>32125.010000000002</v>
      </c>
      <c r="G29" s="11">
        <f>283.33+780+33577.93</f>
        <v>34641.26</v>
      </c>
      <c r="H29" s="11">
        <f>578.1+600+30156.76</f>
        <v>31334.859999999997</v>
      </c>
      <c r="I29" s="11">
        <f>826.9+580+33921.7</f>
        <v>35328.6</v>
      </c>
      <c r="J29" s="11">
        <f>321.67+560+29387.53</f>
        <v>30269.199999999997</v>
      </c>
      <c r="K29" s="34">
        <f>226.67+33587.71+500</f>
        <v>34314.379999999997</v>
      </c>
      <c r="L29" s="11">
        <v>37277.440000000002</v>
      </c>
      <c r="M29" s="11">
        <f>280+620+28605.83</f>
        <v>29505.83</v>
      </c>
      <c r="N29" s="33">
        <f>786+36443.66</f>
        <v>37229.660000000003</v>
      </c>
      <c r="O29" s="238">
        <f>SUM(Tabla2[[#This Row],[Gener]:[Desembre]])</f>
        <v>385692.9</v>
      </c>
    </row>
    <row r="30" spans="1:15" x14ac:dyDescent="0.25">
      <c r="A30" s="13">
        <v>26</v>
      </c>
      <c r="B30" s="46" t="s">
        <v>45</v>
      </c>
      <c r="C30" s="221"/>
      <c r="D30" s="11"/>
      <c r="E30" s="11"/>
      <c r="F30" s="11"/>
      <c r="G30" s="11"/>
      <c r="H30" s="11"/>
      <c r="I30" s="11"/>
      <c r="J30" s="11"/>
      <c r="K30" s="34"/>
      <c r="L30" s="11"/>
      <c r="M30" s="11"/>
      <c r="N30" s="33"/>
      <c r="O30" s="238">
        <f>SUM(Tabla2[[#This Row],[Gener]:[Desembre]])</f>
        <v>0</v>
      </c>
    </row>
    <row r="31" spans="1:15" x14ac:dyDescent="0.25">
      <c r="A31" s="13">
        <v>27</v>
      </c>
      <c r="B31" s="46" t="s">
        <v>46</v>
      </c>
      <c r="C31" s="226"/>
      <c r="D31" s="174"/>
      <c r="E31" s="174"/>
      <c r="F31" s="174"/>
      <c r="G31" s="11"/>
      <c r="H31" s="11"/>
      <c r="I31" s="11"/>
      <c r="J31" s="11"/>
      <c r="K31" s="34"/>
      <c r="L31" s="11"/>
      <c r="M31" s="11"/>
      <c r="N31" s="33"/>
      <c r="O31" s="238">
        <f>SUM(Tabla2[[#This Row],[Gener]:[Desembre]])</f>
        <v>0</v>
      </c>
    </row>
    <row r="32" spans="1:15" x14ac:dyDescent="0.25">
      <c r="A32" s="13">
        <v>28</v>
      </c>
      <c r="B32" s="46" t="s">
        <v>47</v>
      </c>
      <c r="C32" s="221">
        <f>8668.26+413.59</f>
        <v>9081.85</v>
      </c>
      <c r="D32" s="11">
        <f>9691.82+130</f>
        <v>9821.82</v>
      </c>
      <c r="E32" s="11">
        <f>535.56+12200.03</f>
        <v>12735.59</v>
      </c>
      <c r="F32" s="11">
        <f>100+12334.12</f>
        <v>12434.12</v>
      </c>
      <c r="G32" s="11">
        <f>130+11875.28</f>
        <v>12005.28</v>
      </c>
      <c r="H32" s="11">
        <f>277.12+12382.11</f>
        <v>12659.230000000001</v>
      </c>
      <c r="I32" s="11">
        <f>454.16+15875.87</f>
        <v>16330.03</v>
      </c>
      <c r="J32" s="11">
        <f>188.51+12407.21</f>
        <v>12595.72</v>
      </c>
      <c r="K32" s="34">
        <f>34.76+12527.51</f>
        <v>12562.27</v>
      </c>
      <c r="L32" s="11">
        <v>13354.3</v>
      </c>
      <c r="M32" s="11">
        <f>65+13340.66</f>
        <v>13405.66</v>
      </c>
      <c r="N32" s="33">
        <f>875+13992.98</f>
        <v>14867.98</v>
      </c>
      <c r="O32" s="238">
        <f>SUM(Tabla2[[#This Row],[Gener]:[Desembre]])</f>
        <v>151853.85</v>
      </c>
    </row>
    <row r="33" spans="1:15" x14ac:dyDescent="0.25">
      <c r="A33" s="13">
        <v>29</v>
      </c>
      <c r="B33" s="46" t="s">
        <v>48</v>
      </c>
      <c r="C33" s="221">
        <f>140.53</f>
        <v>140.53</v>
      </c>
      <c r="D33" s="11">
        <f>126.15</f>
        <v>126.15</v>
      </c>
      <c r="E33" s="11">
        <v>158.01</v>
      </c>
      <c r="F33" s="11">
        <v>194.51</v>
      </c>
      <c r="G33" s="11">
        <v>142.41999999999999</v>
      </c>
      <c r="H33" s="11">
        <v>139.72</v>
      </c>
      <c r="I33" s="11">
        <v>173.53</v>
      </c>
      <c r="J33" s="11">
        <v>152.4</v>
      </c>
      <c r="K33" s="34">
        <v>137.35</v>
      </c>
      <c r="L33" s="11">
        <v>190.73</v>
      </c>
      <c r="M33" s="11">
        <v>213.61</v>
      </c>
      <c r="N33" s="33">
        <v>161.69</v>
      </c>
      <c r="O33" s="238">
        <f>SUM(Tabla2[[#This Row],[Gener]:[Desembre]])</f>
        <v>1930.65</v>
      </c>
    </row>
    <row r="34" spans="1:15" x14ac:dyDescent="0.25">
      <c r="A34" s="13">
        <v>30</v>
      </c>
      <c r="B34" s="46" t="s">
        <v>50</v>
      </c>
      <c r="C34" s="221"/>
      <c r="D34" s="11"/>
      <c r="E34" s="11"/>
      <c r="F34" s="11"/>
      <c r="G34" s="11"/>
      <c r="H34" s="11"/>
      <c r="I34" s="11"/>
      <c r="J34" s="11"/>
      <c r="K34" s="34"/>
      <c r="L34" s="11"/>
      <c r="M34" s="11"/>
      <c r="N34" s="33"/>
      <c r="O34" s="238">
        <f>SUM(Tabla2[[#This Row],[Gener]:[Desembre]])</f>
        <v>0</v>
      </c>
    </row>
    <row r="35" spans="1:15" x14ac:dyDescent="0.25">
      <c r="A35" s="13">
        <v>31</v>
      </c>
      <c r="B35" s="46" t="s">
        <v>51</v>
      </c>
      <c r="C35" s="221">
        <f>1744.11+133.57</f>
        <v>1877.6799999999998</v>
      </c>
      <c r="D35" s="11">
        <f>912.57+74.67</f>
        <v>987.24</v>
      </c>
      <c r="E35" s="11">
        <f>74+2413.99</f>
        <v>2487.9899999999998</v>
      </c>
      <c r="F35" s="11">
        <f>152+2188.59</f>
        <v>2340.59</v>
      </c>
      <c r="G35" s="11">
        <f>133.33+1363.3</f>
        <v>1496.6299999999999</v>
      </c>
      <c r="H35" s="11">
        <f>40+891.43</f>
        <v>931.43</v>
      </c>
      <c r="I35" s="11">
        <f>218.94+1932.4</f>
        <v>2151.34</v>
      </c>
      <c r="J35" s="11">
        <f>8+1397.85</f>
        <v>1405.85</v>
      </c>
      <c r="K35" s="34">
        <f>64+1645.95</f>
        <v>1709.95</v>
      </c>
      <c r="L35" s="11">
        <v>3409.62</v>
      </c>
      <c r="M35" s="11">
        <f>130+1480.65</f>
        <v>1610.65</v>
      </c>
      <c r="N35" s="33">
        <f>210+1705.51</f>
        <v>1915.51</v>
      </c>
      <c r="O35" s="238">
        <f>SUM(Tabla2[[#This Row],[Gener]:[Desembre]])</f>
        <v>22324.48</v>
      </c>
    </row>
    <row r="36" spans="1:15" x14ac:dyDescent="0.25">
      <c r="A36" s="13">
        <v>32</v>
      </c>
      <c r="B36" s="46" t="s">
        <v>52</v>
      </c>
      <c r="C36" s="221">
        <f>19249.46+600</f>
        <v>19849.46</v>
      </c>
      <c r="D36" s="11">
        <f>14043.45+220</f>
        <v>14263.45</v>
      </c>
      <c r="E36" s="11">
        <f>280+16151.45</f>
        <v>16431.45</v>
      </c>
      <c r="F36" s="11">
        <f>300+19230.01</f>
        <v>19530.009999999998</v>
      </c>
      <c r="G36" s="11">
        <f>134.86+14775.48</f>
        <v>14910.34</v>
      </c>
      <c r="H36" s="11">
        <v>19690.259999999998</v>
      </c>
      <c r="I36" s="11">
        <f>386.36+21602.68</f>
        <v>21989.040000000001</v>
      </c>
      <c r="J36" s="11">
        <f>60+16768.14</f>
        <v>16828.14</v>
      </c>
      <c r="K36" s="34">
        <f>200+17199.73</f>
        <v>17399.73</v>
      </c>
      <c r="L36" s="11">
        <v>17317.86</v>
      </c>
      <c r="M36" s="11">
        <f>400+15132.43</f>
        <v>15532.43</v>
      </c>
      <c r="N36" s="33">
        <f>350+19665.1</f>
        <v>20015.099999999999</v>
      </c>
      <c r="O36" s="238">
        <f>SUM(Tabla2[[#This Row],[Gener]:[Desembre]])</f>
        <v>213757.27</v>
      </c>
    </row>
    <row r="37" spans="1:15" x14ac:dyDescent="0.25">
      <c r="A37" s="13">
        <v>33</v>
      </c>
      <c r="B37" s="46" t="s">
        <v>21</v>
      </c>
      <c r="C37" s="221"/>
      <c r="D37" s="11"/>
      <c r="E37" s="11"/>
      <c r="F37" s="11"/>
      <c r="G37" s="11"/>
      <c r="H37" s="11"/>
      <c r="I37" s="11"/>
      <c r="J37" s="11"/>
      <c r="K37" s="34"/>
      <c r="L37" s="11"/>
      <c r="M37" s="11"/>
      <c r="N37" s="33"/>
      <c r="O37" s="238">
        <f>SUM(Tabla2[[#This Row],[Gener]:[Desembre]])</f>
        <v>0</v>
      </c>
    </row>
    <row r="38" spans="1:15" x14ac:dyDescent="0.25">
      <c r="A38" s="13">
        <v>34</v>
      </c>
      <c r="B38" s="46" t="s">
        <v>22</v>
      </c>
      <c r="C38" s="221">
        <f>4709.93+65</f>
        <v>4774.93</v>
      </c>
      <c r="D38" s="11">
        <f>3190.35+68.57</f>
        <v>3258.92</v>
      </c>
      <c r="E38" s="11">
        <f>40+5665.67</f>
        <v>5705.67</v>
      </c>
      <c r="F38" s="11">
        <f>305+3828.75</f>
        <v>4133.75</v>
      </c>
      <c r="G38" s="11">
        <f>50+5861.02</f>
        <v>5911.02</v>
      </c>
      <c r="H38" s="11">
        <f>200+5057.14</f>
        <v>5257.14</v>
      </c>
      <c r="I38" s="11">
        <f>279.17+5794.01</f>
        <v>6073.18</v>
      </c>
      <c r="J38" s="11">
        <f>440+5427.78</f>
        <v>5867.78</v>
      </c>
      <c r="K38" s="34">
        <f>130+4031</f>
        <v>4161</v>
      </c>
      <c r="L38" s="11">
        <v>4492.99</v>
      </c>
      <c r="M38" s="11">
        <f>50+5352.49</f>
        <v>5402.49</v>
      </c>
      <c r="N38" s="33">
        <f>280+4700.44</f>
        <v>4980.4399999999996</v>
      </c>
      <c r="O38" s="238">
        <f>SUM(Tabla2[[#This Row],[Gener]:[Desembre]])</f>
        <v>60019.31</v>
      </c>
    </row>
    <row r="39" spans="1:15" x14ac:dyDescent="0.25">
      <c r="A39" s="13">
        <v>35</v>
      </c>
      <c r="B39" s="46" t="s">
        <v>23</v>
      </c>
      <c r="C39" s="221">
        <f>6740.82+318.22</f>
        <v>7059.04</v>
      </c>
      <c r="D39" s="11">
        <f>3811.59+150</f>
        <v>3961.59</v>
      </c>
      <c r="E39" s="11">
        <f>284.44+4540.12</f>
        <v>4824.5599999999995</v>
      </c>
      <c r="F39" s="11">
        <f>24+4998.3</f>
        <v>5022.3</v>
      </c>
      <c r="G39" s="11">
        <f>202+6400.45</f>
        <v>6602.45</v>
      </c>
      <c r="H39" s="11">
        <f>322.88+5071.15</f>
        <v>5394.03</v>
      </c>
      <c r="I39" s="11">
        <f>330.29+6171.87</f>
        <v>6502.16</v>
      </c>
      <c r="J39" s="11">
        <f>213.94+7895.97</f>
        <v>8109.91</v>
      </c>
      <c r="K39" s="34">
        <f>34.76+6164.08</f>
        <v>6198.84</v>
      </c>
      <c r="L39" s="11">
        <v>6946.4</v>
      </c>
      <c r="M39" s="11">
        <f>35+7236.24</f>
        <v>7271.24</v>
      </c>
      <c r="N39" s="33">
        <f>405+6782.54</f>
        <v>7187.54</v>
      </c>
      <c r="O39" s="238">
        <f>SUM(Tabla2[[#This Row],[Gener]:[Desembre]])</f>
        <v>75080.06</v>
      </c>
    </row>
    <row r="40" spans="1:15" x14ac:dyDescent="0.25">
      <c r="A40" s="13">
        <v>36</v>
      </c>
      <c r="B40" s="46" t="s">
        <v>24</v>
      </c>
      <c r="C40" s="221">
        <f>1493.78+48.33</f>
        <v>1542.11</v>
      </c>
      <c r="D40" s="11">
        <f>1534.18+43.81</f>
        <v>1577.99</v>
      </c>
      <c r="E40" s="11">
        <f>86.67+1259.39</f>
        <v>1346.0600000000002</v>
      </c>
      <c r="F40" s="11">
        <f>59+2198.61</f>
        <v>2257.61</v>
      </c>
      <c r="G40" s="11">
        <f>68.38+1555.09</f>
        <v>1623.4699999999998</v>
      </c>
      <c r="H40" s="11">
        <f>131.19+1913.92</f>
        <v>2045.1100000000001</v>
      </c>
      <c r="I40" s="11">
        <f>157.88+1940.34</f>
        <v>2098.2199999999998</v>
      </c>
      <c r="J40" s="11">
        <f>182.62+1584.69</f>
        <v>1767.31</v>
      </c>
      <c r="K40" s="34">
        <f>31.54+1500.91</f>
        <v>1532.45</v>
      </c>
      <c r="L40" s="11">
        <v>1867.22</v>
      </c>
      <c r="M40" s="11">
        <f>36.67+1470.55</f>
        <v>1507.22</v>
      </c>
      <c r="N40" s="33">
        <f>332.31+1452.74</f>
        <v>1785.05</v>
      </c>
      <c r="O40" s="238">
        <f>SUM(Tabla2[[#This Row],[Gener]:[Desembre]])</f>
        <v>20949.82</v>
      </c>
    </row>
    <row r="41" spans="1:15" x14ac:dyDescent="0.25">
      <c r="A41" s="13">
        <v>37</v>
      </c>
      <c r="B41" s="46" t="s">
        <v>25</v>
      </c>
      <c r="C41" s="221">
        <f>10069.49+556</f>
        <v>10625.49</v>
      </c>
      <c r="D41" s="11">
        <f>7269.38+370</f>
        <v>7639.38</v>
      </c>
      <c r="E41" s="11">
        <f>336.67+8021.43</f>
        <v>8358.1</v>
      </c>
      <c r="F41" s="11">
        <f>388.62+10678.5</f>
        <v>11067.12</v>
      </c>
      <c r="G41" s="11">
        <f>724+10162.86</f>
        <v>10886.86</v>
      </c>
      <c r="H41" s="11">
        <f>1176.67+8897.4</f>
        <v>10074.07</v>
      </c>
      <c r="I41" s="11">
        <f>938+11490.59</f>
        <v>12428.59</v>
      </c>
      <c r="J41" s="11">
        <f>453.33+10445.79</f>
        <v>10899.12</v>
      </c>
      <c r="K41" s="34">
        <f>854.29+9430.07</f>
        <v>10284.36</v>
      </c>
      <c r="L41" s="11">
        <v>11888.32</v>
      </c>
      <c r="M41" s="11">
        <f>380+11716.36</f>
        <v>12096.36</v>
      </c>
      <c r="N41" s="33">
        <f>1490+13121.12</f>
        <v>14611.12</v>
      </c>
      <c r="O41" s="238">
        <f>SUM(Tabla2[[#This Row],[Gener]:[Desembre]])</f>
        <v>130858.89</v>
      </c>
    </row>
    <row r="42" spans="1:15" x14ac:dyDescent="0.25">
      <c r="A42" s="13">
        <v>38</v>
      </c>
      <c r="B42" s="46" t="s">
        <v>5</v>
      </c>
      <c r="C42" s="221">
        <f>2411.51</f>
        <v>2411.5100000000002</v>
      </c>
      <c r="D42" s="11">
        <f>1487.81</f>
        <v>1487.81</v>
      </c>
      <c r="E42" s="11">
        <v>1672.59</v>
      </c>
      <c r="F42" s="11">
        <v>1978.78</v>
      </c>
      <c r="G42" s="11">
        <v>1730.25</v>
      </c>
      <c r="H42" s="11">
        <v>1376.95</v>
      </c>
      <c r="I42" s="11">
        <v>2697.67</v>
      </c>
      <c r="J42" s="11">
        <v>3505.62</v>
      </c>
      <c r="K42" s="34">
        <v>2684.46</v>
      </c>
      <c r="L42" s="11">
        <v>1927.89</v>
      </c>
      <c r="M42" s="11">
        <v>1868.14</v>
      </c>
      <c r="N42" s="33">
        <v>1668.15</v>
      </c>
      <c r="O42" s="238">
        <f>SUM(Tabla2[[#This Row],[Gener]:[Desembre]])</f>
        <v>25009.82</v>
      </c>
    </row>
    <row r="43" spans="1:15" x14ac:dyDescent="0.25">
      <c r="A43" s="13">
        <v>39</v>
      </c>
      <c r="B43" s="46" t="s">
        <v>6</v>
      </c>
      <c r="C43" s="226">
        <f>1177.41</f>
        <v>1177.4100000000001</v>
      </c>
      <c r="D43" s="174">
        <f>549.77</f>
        <v>549.77</v>
      </c>
      <c r="E43" s="174">
        <f>762.83</f>
        <v>762.83</v>
      </c>
      <c r="F43" s="174">
        <v>673.18</v>
      </c>
      <c r="G43" s="174">
        <v>877.76</v>
      </c>
      <c r="H43" s="174">
        <v>1381.35</v>
      </c>
      <c r="I43" s="227">
        <v>1223.5999999999999</v>
      </c>
      <c r="J43" s="174">
        <v>1265.9000000000001</v>
      </c>
      <c r="K43" s="34">
        <f>1339.3</f>
        <v>1339.3</v>
      </c>
      <c r="L43" s="11">
        <v>1033.32</v>
      </c>
      <c r="M43" s="11">
        <v>976.99</v>
      </c>
      <c r="N43" s="33">
        <v>1197.27</v>
      </c>
      <c r="O43" s="238">
        <f>SUM(Tabla2[[#This Row],[Gener]:[Desembre]])</f>
        <v>12458.679999999998</v>
      </c>
    </row>
    <row r="44" spans="1:15" x14ac:dyDescent="0.25">
      <c r="A44" s="13">
        <v>40</v>
      </c>
      <c r="B44" s="46" t="s">
        <v>8</v>
      </c>
      <c r="C44" s="221">
        <f>266.42</f>
        <v>266.42</v>
      </c>
      <c r="D44" s="11">
        <f>173.05</f>
        <v>173.05</v>
      </c>
      <c r="E44" s="11">
        <v>326.32</v>
      </c>
      <c r="F44" s="11">
        <v>322.02999999999997</v>
      </c>
      <c r="G44" s="11">
        <v>159.81</v>
      </c>
      <c r="H44" s="11">
        <v>402.61</v>
      </c>
      <c r="I44" s="11">
        <v>535.07000000000005</v>
      </c>
      <c r="J44" s="11">
        <v>429.77</v>
      </c>
      <c r="K44" s="34">
        <v>544.17999999999995</v>
      </c>
      <c r="L44" s="11">
        <v>350.44</v>
      </c>
      <c r="M44" s="11">
        <v>496.92</v>
      </c>
      <c r="N44" s="33">
        <v>169.76</v>
      </c>
      <c r="O44" s="238">
        <f>SUM(Tabla2[[#This Row],[Gener]:[Desembre]])</f>
        <v>4176.38</v>
      </c>
    </row>
    <row r="45" spans="1:15" ht="15.75" thickBot="1" x14ac:dyDescent="0.3">
      <c r="A45" s="92">
        <v>41</v>
      </c>
      <c r="B45" s="47" t="s">
        <v>49</v>
      </c>
      <c r="C45" s="43"/>
      <c r="D45" s="34"/>
      <c r="E45" s="34"/>
      <c r="F45" s="21"/>
      <c r="G45" s="21"/>
      <c r="H45" s="21"/>
      <c r="I45" s="21"/>
      <c r="J45" s="34"/>
      <c r="K45" s="34"/>
      <c r="L45" s="21"/>
      <c r="M45" s="21"/>
      <c r="N45" s="36"/>
      <c r="O45" s="239">
        <f>SUM(Tabla2[[#This Row],[Gener]:[Desembre]])</f>
        <v>0</v>
      </c>
    </row>
    <row r="46" spans="1:15" s="4" customFormat="1" ht="15.75" thickBot="1" x14ac:dyDescent="0.3">
      <c r="A46" s="93"/>
      <c r="B46" s="22" t="s">
        <v>71</v>
      </c>
      <c r="C46" s="42">
        <f t="shared" ref="C46:L46" si="0">SUBTOTAL(109,C5:C45)</f>
        <v>462880.01</v>
      </c>
      <c r="D46" s="6">
        <f t="shared" si="0"/>
        <v>369379.99999999994</v>
      </c>
      <c r="E46" s="6">
        <f t="shared" si="0"/>
        <v>408280.00000000012</v>
      </c>
      <c r="F46" s="6">
        <f t="shared" si="0"/>
        <v>451329.96</v>
      </c>
      <c r="G46" s="6">
        <f t="shared" si="0"/>
        <v>478719.99000000017</v>
      </c>
      <c r="H46" s="6">
        <f t="shared" si="0"/>
        <v>468610.00999999995</v>
      </c>
      <c r="I46" s="6">
        <f t="shared" si="0"/>
        <v>546079.96</v>
      </c>
      <c r="J46" s="6">
        <f t="shared" si="0"/>
        <v>473560.00999999995</v>
      </c>
      <c r="K46" s="6">
        <f t="shared" si="0"/>
        <v>511110</v>
      </c>
      <c r="L46" s="6">
        <f t="shared" si="0"/>
        <v>539325.00999999978</v>
      </c>
      <c r="M46" s="6">
        <f>SUM(M5:M45)</f>
        <v>500540.00999999978</v>
      </c>
      <c r="N46" s="6">
        <f>SUM(N5:N45)</f>
        <v>619179.56999999983</v>
      </c>
      <c r="O46" s="8">
        <f>SUBTOTAL(109,O5:O45)</f>
        <v>5828994.5300000003</v>
      </c>
    </row>
    <row r="47" spans="1:15" ht="15.75" thickBot="1" x14ac:dyDescent="0.3">
      <c r="A47" s="11"/>
      <c r="B47" s="48" t="s">
        <v>58</v>
      </c>
      <c r="C47" s="44">
        <v>428940.28999999992</v>
      </c>
      <c r="D47" s="37">
        <v>316459.99999999988</v>
      </c>
      <c r="E47" s="37">
        <v>388541.76999999996</v>
      </c>
      <c r="F47" s="37">
        <v>382269.97999999986</v>
      </c>
      <c r="G47" s="37">
        <v>424968.31999999995</v>
      </c>
      <c r="H47" s="37">
        <v>420061.56999999989</v>
      </c>
      <c r="I47" s="37">
        <v>468469.92999999993</v>
      </c>
      <c r="J47" s="37">
        <v>424207.91000000003</v>
      </c>
      <c r="K47" s="37">
        <v>433149.97000000003</v>
      </c>
      <c r="L47" s="37">
        <v>469174.91000000003</v>
      </c>
      <c r="M47" s="37">
        <v>440119.99000000005</v>
      </c>
      <c r="N47" s="39">
        <v>473719.94000000012</v>
      </c>
      <c r="O47" s="41">
        <f>SUM(Tabla2[[#This Row],[Gener]:[Desembre]])</f>
        <v>5070084.58</v>
      </c>
    </row>
    <row r="48" spans="1:15" x14ac:dyDescent="0.25">
      <c r="A48" s="21"/>
      <c r="B48" s="83" t="s">
        <v>59</v>
      </c>
      <c r="C48" s="85">
        <f>(C46/C47)-1</f>
        <v>7.9124579320819066E-2</v>
      </c>
      <c r="D48" s="85">
        <f>(D46/D47)-1</f>
        <v>0.16722492574101011</v>
      </c>
      <c r="E48" s="85">
        <f t="shared" ref="E48:O48" si="1">(E46/E47)-1</f>
        <v>5.0800792923757276E-2</v>
      </c>
      <c r="F48" s="85">
        <f t="shared" si="1"/>
        <v>0.18065760748463733</v>
      </c>
      <c r="G48" s="85">
        <f t="shared" si="1"/>
        <v>0.12648394590919199</v>
      </c>
      <c r="H48" s="85">
        <f t="shared" si="1"/>
        <v>0.11557458112628605</v>
      </c>
      <c r="I48" s="85">
        <f t="shared" si="1"/>
        <v>0.1656670471891335</v>
      </c>
      <c r="J48" s="85">
        <f t="shared" si="1"/>
        <v>0.11633941479309029</v>
      </c>
      <c r="K48" s="85">
        <f t="shared" si="1"/>
        <v>0.17998392104240479</v>
      </c>
      <c r="L48" s="85">
        <f t="shared" si="1"/>
        <v>0.14951801237623674</v>
      </c>
      <c r="M48" s="85">
        <f t="shared" si="1"/>
        <v>0.13728079017724171</v>
      </c>
      <c r="N48" s="85">
        <f t="shared" si="1"/>
        <v>0.30705828004622249</v>
      </c>
      <c r="O48" s="85">
        <f t="shared" si="1"/>
        <v>0.14968388357734264</v>
      </c>
    </row>
    <row r="49" spans="2:15" x14ac:dyDescent="0.25">
      <c r="B49" s="18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</row>
    <row r="51" spans="2:15" x14ac:dyDescent="0.25">
      <c r="E51" s="84"/>
      <c r="H51" s="86"/>
    </row>
  </sheetData>
  <pageMargins left="0.19685039370078741" right="0.23622047244094491" top="0.39370078740157483" bottom="0.45" header="0.19685039370078741" footer="0.31496062992125984"/>
  <pageSetup paperSize="9" scale="75" orientation="landscape" r:id="rId1"/>
  <headerFooter>
    <oddHeader>&amp;L&amp;"Calibri,Normal"&amp;G&amp;C&amp;"Calibri,Normal"&amp;F&amp;R&amp;"Calibri,Normal"&amp;G</oddHeader>
    <oddFooter>&amp;L&amp;"Calibri,Normal"&amp;D&amp;C&amp;"Calibri,Normal"&amp;A&amp;R&amp;"Calibri,Normal"&amp;P de &amp;N</oddFooter>
  </headerFooter>
  <drawing r:id="rId2"/>
  <legacyDrawingHF r:id="rId3"/>
  <tableParts count="1"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P51"/>
  <sheetViews>
    <sheetView showZeros="0" zoomScale="90" zoomScaleNormal="90" workbookViewId="0">
      <selection activeCell="Q51" sqref="Q51"/>
    </sheetView>
  </sheetViews>
  <sheetFormatPr baseColWidth="10" defaultColWidth="11.42578125" defaultRowHeight="15" x14ac:dyDescent="0.25"/>
  <cols>
    <col min="1" max="1" width="5.7109375" style="3" customWidth="1"/>
    <col min="2" max="2" width="26.140625" style="3" bestFit="1" customWidth="1"/>
    <col min="3" max="6" width="11.42578125" style="2"/>
    <col min="7" max="10" width="11.42578125" style="2" customWidth="1"/>
    <col min="11" max="11" width="11.85546875" style="2" customWidth="1"/>
    <col min="12" max="12" width="11.42578125" style="2" customWidth="1"/>
    <col min="13" max="13" width="12.5703125" style="2" customWidth="1"/>
    <col min="14" max="14" width="12.28515625" style="2" customWidth="1"/>
    <col min="15" max="15" width="11.42578125" style="2"/>
    <col min="16" max="16384" width="11.42578125" style="3"/>
  </cols>
  <sheetData>
    <row r="2" spans="1:15" ht="15.75" x14ac:dyDescent="0.25">
      <c r="B2" s="1" t="s">
        <v>70</v>
      </c>
    </row>
    <row r="3" spans="1:15" ht="15.75" thickBot="1" x14ac:dyDescent="0.3">
      <c r="C3" s="4" t="s">
        <v>68</v>
      </c>
    </row>
    <row r="4" spans="1:15" ht="15.75" thickBot="1" x14ac:dyDescent="0.3">
      <c r="A4" s="8" t="s">
        <v>61</v>
      </c>
      <c r="B4" s="22" t="s">
        <v>57</v>
      </c>
      <c r="C4" s="42" t="s">
        <v>26</v>
      </c>
      <c r="D4" s="6" t="s">
        <v>27</v>
      </c>
      <c r="E4" s="6" t="s">
        <v>28</v>
      </c>
      <c r="F4" s="6" t="s">
        <v>29</v>
      </c>
      <c r="G4" s="6" t="s">
        <v>30</v>
      </c>
      <c r="H4" s="6" t="s">
        <v>31</v>
      </c>
      <c r="I4" s="6" t="s">
        <v>32</v>
      </c>
      <c r="J4" s="6" t="s">
        <v>33</v>
      </c>
      <c r="K4" s="6" t="s">
        <v>34</v>
      </c>
      <c r="L4" s="6" t="s">
        <v>35</v>
      </c>
      <c r="M4" s="6" t="s">
        <v>36</v>
      </c>
      <c r="N4" s="38" t="s">
        <v>37</v>
      </c>
      <c r="O4" s="8" t="s">
        <v>38</v>
      </c>
    </row>
    <row r="5" spans="1:15" x14ac:dyDescent="0.25">
      <c r="A5" s="40">
        <v>1</v>
      </c>
      <c r="B5" s="45" t="s">
        <v>39</v>
      </c>
      <c r="C5" s="43"/>
      <c r="D5" s="34"/>
      <c r="E5" s="34"/>
      <c r="F5" s="34"/>
      <c r="G5" s="34"/>
      <c r="H5" s="34"/>
      <c r="I5" s="34"/>
      <c r="J5" s="34"/>
      <c r="K5" s="34"/>
      <c r="L5" s="34"/>
      <c r="M5" s="34"/>
      <c r="N5" s="35"/>
      <c r="O5" s="240">
        <f>SUM(Tabla25[[#This Row],[Gener]:[Desembre]])</f>
        <v>0</v>
      </c>
    </row>
    <row r="6" spans="1:15" x14ac:dyDescent="0.25">
      <c r="A6" s="13">
        <v>2</v>
      </c>
      <c r="B6" s="46" t="s">
        <v>0</v>
      </c>
      <c r="C6" s="221">
        <v>2020</v>
      </c>
      <c r="D6" s="11">
        <v>1780</v>
      </c>
      <c r="E6" s="11">
        <v>3000</v>
      </c>
      <c r="F6" s="11">
        <v>2680</v>
      </c>
      <c r="G6" s="11">
        <v>2800</v>
      </c>
      <c r="H6" s="11">
        <f>3260</f>
        <v>3260</v>
      </c>
      <c r="I6" s="11">
        <v>3300</v>
      </c>
      <c r="J6" s="11">
        <v>1900</v>
      </c>
      <c r="K6" s="11">
        <v>2700</v>
      </c>
      <c r="L6" s="11">
        <v>2620</v>
      </c>
      <c r="M6" s="11">
        <v>3000</v>
      </c>
      <c r="N6" s="12">
        <v>2300</v>
      </c>
      <c r="O6" s="241">
        <f>SUM(Tabla25[[#This Row],[Gener]:[Desembre]])</f>
        <v>31360</v>
      </c>
    </row>
    <row r="7" spans="1:15" x14ac:dyDescent="0.25">
      <c r="A7" s="13">
        <v>3</v>
      </c>
      <c r="B7" s="46" t="s">
        <v>1</v>
      </c>
      <c r="C7" s="221"/>
      <c r="D7" s="11"/>
      <c r="E7" s="11"/>
      <c r="F7" s="11"/>
      <c r="G7" s="11"/>
      <c r="H7" s="11"/>
      <c r="I7" s="11"/>
      <c r="J7" s="11"/>
      <c r="K7" s="11"/>
      <c r="L7" s="11"/>
      <c r="M7" s="11"/>
      <c r="N7" s="12"/>
      <c r="O7" s="241">
        <f>SUM(Tabla25[[#This Row],[Gener]:[Desembre]])</f>
        <v>0</v>
      </c>
    </row>
    <row r="8" spans="1:15" x14ac:dyDescent="0.25">
      <c r="A8" s="13">
        <v>4</v>
      </c>
      <c r="B8" s="46" t="s">
        <v>2</v>
      </c>
      <c r="C8" s="221"/>
      <c r="D8" s="11"/>
      <c r="E8" s="11"/>
      <c r="F8" s="11"/>
      <c r="G8" s="11"/>
      <c r="H8" s="11"/>
      <c r="I8" s="11"/>
      <c r="J8" s="11"/>
      <c r="K8" s="11"/>
      <c r="L8" s="11"/>
      <c r="M8" s="11"/>
      <c r="N8" s="12"/>
      <c r="O8" s="241">
        <f>SUM(Tabla25[[#This Row],[Gener]:[Desembre]])</f>
        <v>0</v>
      </c>
    </row>
    <row r="9" spans="1:15" x14ac:dyDescent="0.25">
      <c r="A9" s="13">
        <v>5</v>
      </c>
      <c r="B9" s="46" t="s">
        <v>3</v>
      </c>
      <c r="C9" s="221"/>
      <c r="D9" s="11"/>
      <c r="E9" s="11"/>
      <c r="F9" s="11"/>
      <c r="G9" s="11"/>
      <c r="H9" s="11"/>
      <c r="I9" s="11"/>
      <c r="J9" s="11"/>
      <c r="K9" s="11"/>
      <c r="L9" s="11"/>
      <c r="M9" s="11"/>
      <c r="N9" s="12"/>
      <c r="O9" s="241">
        <f>SUM(Tabla25[[#This Row],[Gener]:[Desembre]])</f>
        <v>0</v>
      </c>
    </row>
    <row r="10" spans="1:15" x14ac:dyDescent="0.25">
      <c r="A10" s="13">
        <v>6</v>
      </c>
      <c r="B10" s="46" t="s">
        <v>4</v>
      </c>
      <c r="C10" s="221">
        <v>5780</v>
      </c>
      <c r="D10" s="11">
        <v>4680</v>
      </c>
      <c r="E10" s="11">
        <v>5400</v>
      </c>
      <c r="F10" s="11">
        <v>4740</v>
      </c>
      <c r="G10" s="11">
        <v>6020</v>
      </c>
      <c r="H10" s="11">
        <f>4920</f>
        <v>4920</v>
      </c>
      <c r="I10" s="11">
        <v>6380</v>
      </c>
      <c r="J10" s="11">
        <v>4580</v>
      </c>
      <c r="K10" s="11">
        <v>5900</v>
      </c>
      <c r="L10" s="11">
        <v>7060</v>
      </c>
      <c r="M10" s="11">
        <v>5100</v>
      </c>
      <c r="N10" s="12">
        <v>5400</v>
      </c>
      <c r="O10" s="241">
        <f>SUM(Tabla25[[#This Row],[Gener]:[Desembre]])</f>
        <v>65960</v>
      </c>
    </row>
    <row r="11" spans="1:15" x14ac:dyDescent="0.25">
      <c r="A11" s="13">
        <v>7</v>
      </c>
      <c r="B11" s="46" t="s">
        <v>60</v>
      </c>
      <c r="C11" s="22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2"/>
      <c r="O11" s="241"/>
    </row>
    <row r="12" spans="1:15" x14ac:dyDescent="0.25">
      <c r="A12" s="13">
        <v>8</v>
      </c>
      <c r="B12" s="47" t="s">
        <v>7</v>
      </c>
      <c r="C12" s="22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2"/>
      <c r="O12" s="242">
        <f>SUM(Tabla25[[#This Row],[Gener]:[Desembre]])</f>
        <v>0</v>
      </c>
    </row>
    <row r="13" spans="1:15" x14ac:dyDescent="0.25">
      <c r="A13" s="13">
        <v>9</v>
      </c>
      <c r="B13" s="46" t="s">
        <v>40</v>
      </c>
      <c r="C13" s="22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2"/>
      <c r="O13" s="241">
        <f>SUM(Tabla25[[#This Row],[Gener]:[Desembre]])</f>
        <v>0</v>
      </c>
    </row>
    <row r="14" spans="1:15" x14ac:dyDescent="0.25">
      <c r="A14" s="13">
        <v>10</v>
      </c>
      <c r="B14" s="45" t="s">
        <v>41</v>
      </c>
      <c r="C14" s="221">
        <v>7020</v>
      </c>
      <c r="D14" s="11">
        <v>6920</v>
      </c>
      <c r="E14" s="11">
        <v>8200</v>
      </c>
      <c r="F14" s="11">
        <v>6660</v>
      </c>
      <c r="G14" s="11">
        <v>8660</v>
      </c>
      <c r="H14" s="11">
        <f>9180</f>
        <v>9180</v>
      </c>
      <c r="I14" s="11">
        <v>9680</v>
      </c>
      <c r="J14" s="11">
        <v>6080</v>
      </c>
      <c r="K14" s="11">
        <v>7680</v>
      </c>
      <c r="L14" s="11">
        <v>9280</v>
      </c>
      <c r="M14" s="11">
        <v>7620</v>
      </c>
      <c r="N14" s="12">
        <v>7600</v>
      </c>
      <c r="O14" s="240">
        <f>SUM(Tabla25[[#This Row],[Gener]:[Desembre]])</f>
        <v>94580</v>
      </c>
    </row>
    <row r="15" spans="1:15" x14ac:dyDescent="0.25">
      <c r="A15" s="13">
        <v>11</v>
      </c>
      <c r="B15" s="46" t="s">
        <v>9</v>
      </c>
      <c r="C15" s="221">
        <f>2020+780+2560+7960</f>
        <v>13320</v>
      </c>
      <c r="D15" s="11">
        <f>1580+2300+1920+6460</f>
        <v>12260</v>
      </c>
      <c r="E15" s="11">
        <f>4480+3920+8020</f>
        <v>16420</v>
      </c>
      <c r="F15" s="11">
        <f>2000+3140+2000+8220</f>
        <v>15360</v>
      </c>
      <c r="G15" s="11">
        <f>4620+4700+3900+9020</f>
        <v>22240</v>
      </c>
      <c r="H15" s="11">
        <f>8840+2540+5680+2520</f>
        <v>19580</v>
      </c>
      <c r="I15" s="11">
        <f>13380+2440+4480+6946</f>
        <v>27246</v>
      </c>
      <c r="J15" s="11">
        <f>3580+5660+1260+13940</f>
        <v>24440</v>
      </c>
      <c r="K15" s="11">
        <f>4300+8740+2720+16420</f>
        <v>32180</v>
      </c>
      <c r="L15" s="11">
        <v>34235</v>
      </c>
      <c r="M15" s="11">
        <f>7640+7080+1480+17920</f>
        <v>34120</v>
      </c>
      <c r="N15" s="12">
        <f>5380+5320+3400+28740</f>
        <v>42840</v>
      </c>
      <c r="O15" s="241">
        <f>SUM(Tabla25[[#This Row],[Gener]:[Desembre]])</f>
        <v>294241</v>
      </c>
    </row>
    <row r="16" spans="1:15" x14ac:dyDescent="0.25">
      <c r="A16" s="13">
        <v>12</v>
      </c>
      <c r="B16" s="46" t="s">
        <v>10</v>
      </c>
      <c r="C16" s="22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2"/>
      <c r="O16" s="241">
        <f>SUM(Tabla25[[#This Row],[Gener]:[Desembre]])</f>
        <v>0</v>
      </c>
    </row>
    <row r="17" spans="1:15" x14ac:dyDescent="0.25">
      <c r="A17" s="13">
        <v>13</v>
      </c>
      <c r="B17" s="46" t="s">
        <v>42</v>
      </c>
      <c r="C17" s="22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2"/>
      <c r="O17" s="241">
        <f>SUM(Tabla25[[#This Row],[Gener]:[Desembre]])</f>
        <v>0</v>
      </c>
    </row>
    <row r="18" spans="1:15" x14ac:dyDescent="0.25">
      <c r="A18" s="13">
        <v>14</v>
      </c>
      <c r="B18" s="46" t="s">
        <v>11</v>
      </c>
      <c r="C18" s="22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241">
        <f>SUM(Tabla25[[#This Row],[Gener]:[Desembre]])</f>
        <v>0</v>
      </c>
    </row>
    <row r="19" spans="1:15" x14ac:dyDescent="0.25">
      <c r="A19" s="13">
        <v>15</v>
      </c>
      <c r="B19" s="46" t="s">
        <v>12</v>
      </c>
      <c r="C19" s="22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241">
        <f>SUM(Tabla25[[#This Row],[Gener]:[Desembre]])</f>
        <v>0</v>
      </c>
    </row>
    <row r="20" spans="1:15" x14ac:dyDescent="0.25">
      <c r="A20" s="13">
        <v>16</v>
      </c>
      <c r="B20" s="46" t="s">
        <v>13</v>
      </c>
      <c r="C20" s="22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2"/>
      <c r="O20" s="241">
        <f>SUM(Tabla25[[#This Row],[Gener]:[Desembre]])</f>
        <v>0</v>
      </c>
    </row>
    <row r="21" spans="1:15" x14ac:dyDescent="0.25">
      <c r="A21" s="13">
        <v>17</v>
      </c>
      <c r="B21" s="46" t="s">
        <v>14</v>
      </c>
      <c r="C21" s="22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2"/>
      <c r="O21" s="241">
        <f>SUM(Tabla25[[#This Row],[Gener]:[Desembre]])</f>
        <v>0</v>
      </c>
    </row>
    <row r="22" spans="1:15" x14ac:dyDescent="0.25">
      <c r="A22" s="13">
        <v>18</v>
      </c>
      <c r="B22" s="46" t="s">
        <v>15</v>
      </c>
      <c r="C22" s="221">
        <f>3440+23080</f>
        <v>26520</v>
      </c>
      <c r="D22" s="11">
        <f>3500+22160</f>
        <v>25660</v>
      </c>
      <c r="E22" s="11">
        <f>3760+27080</f>
        <v>30840</v>
      </c>
      <c r="F22" s="11">
        <f>4530+27420</f>
        <v>31950</v>
      </c>
      <c r="G22" s="11">
        <f>4940+30740</f>
        <v>35680</v>
      </c>
      <c r="H22" s="11">
        <f>23360+5200</f>
        <v>28560</v>
      </c>
      <c r="I22" s="11">
        <f>27420+5440</f>
        <v>32860</v>
      </c>
      <c r="J22" s="11">
        <f>3660+17420</f>
        <v>21080</v>
      </c>
      <c r="K22" s="11">
        <f>4520+28660</f>
        <v>33180</v>
      </c>
      <c r="L22" s="11">
        <v>33560</v>
      </c>
      <c r="M22" s="11">
        <f>3680+28280</f>
        <v>31960</v>
      </c>
      <c r="N22" s="12">
        <f>6020+25460</f>
        <v>31480</v>
      </c>
      <c r="O22" s="241">
        <f>SUM(Tabla25[[#This Row],[Gener]:[Desembre]])</f>
        <v>363330</v>
      </c>
    </row>
    <row r="23" spans="1:15" x14ac:dyDescent="0.25">
      <c r="A23" s="13">
        <v>19</v>
      </c>
      <c r="B23" s="46" t="s">
        <v>16</v>
      </c>
      <c r="C23" s="221">
        <v>5280</v>
      </c>
      <c r="D23" s="11">
        <v>4840</v>
      </c>
      <c r="E23" s="11">
        <v>4420</v>
      </c>
      <c r="F23" s="11">
        <v>4040</v>
      </c>
      <c r="G23" s="11">
        <v>6520</v>
      </c>
      <c r="H23" s="11">
        <f>4340</f>
        <v>4340</v>
      </c>
      <c r="I23" s="11">
        <v>5900</v>
      </c>
      <c r="J23" s="11">
        <v>2680</v>
      </c>
      <c r="K23" s="11">
        <v>5740</v>
      </c>
      <c r="L23" s="11">
        <v>6620</v>
      </c>
      <c r="M23" s="11">
        <v>6500</v>
      </c>
      <c r="N23" s="12">
        <v>6400</v>
      </c>
      <c r="O23" s="241">
        <f>SUM(Tabla25[[#This Row],[Gener]:[Desembre]])</f>
        <v>63280</v>
      </c>
    </row>
    <row r="24" spans="1:15" x14ac:dyDescent="0.25">
      <c r="A24" s="13">
        <v>20</v>
      </c>
      <c r="B24" s="46" t="s">
        <v>17</v>
      </c>
      <c r="C24" s="22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2"/>
      <c r="O24" s="241">
        <f>SUM(Tabla25[[#This Row],[Gener]:[Desembre]])</f>
        <v>0</v>
      </c>
    </row>
    <row r="25" spans="1:15" x14ac:dyDescent="0.25">
      <c r="A25" s="13">
        <v>21</v>
      </c>
      <c r="B25" s="46" t="s">
        <v>18</v>
      </c>
      <c r="C25" s="22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2"/>
      <c r="O25" s="241">
        <f>SUM(Tabla25[[#This Row],[Gener]:[Desembre]])</f>
        <v>0</v>
      </c>
    </row>
    <row r="26" spans="1:15" x14ac:dyDescent="0.25">
      <c r="A26" s="13">
        <v>22</v>
      </c>
      <c r="B26" s="46" t="s">
        <v>19</v>
      </c>
      <c r="C26" s="221">
        <v>3540</v>
      </c>
      <c r="D26" s="11">
        <v>3840</v>
      </c>
      <c r="E26" s="11">
        <v>5360</v>
      </c>
      <c r="F26" s="11">
        <v>4860</v>
      </c>
      <c r="G26" s="11">
        <v>6360</v>
      </c>
      <c r="H26" s="11">
        <f>4660</f>
        <v>4660</v>
      </c>
      <c r="I26" s="11">
        <v>4660</v>
      </c>
      <c r="J26" s="11">
        <v>4120</v>
      </c>
      <c r="K26" s="11">
        <v>5280</v>
      </c>
      <c r="L26" s="11">
        <v>5580</v>
      </c>
      <c r="M26" s="11">
        <v>5480</v>
      </c>
      <c r="N26" s="12">
        <v>5920</v>
      </c>
      <c r="O26" s="241">
        <f>SUM(Tabla25[[#This Row],[Gener]:[Desembre]])</f>
        <v>59660</v>
      </c>
    </row>
    <row r="27" spans="1:15" x14ac:dyDescent="0.25">
      <c r="A27" s="13">
        <v>23</v>
      </c>
      <c r="B27" s="46" t="s">
        <v>43</v>
      </c>
      <c r="C27" s="22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2"/>
      <c r="O27" s="241">
        <f>SUM(Tabla25[[#This Row],[Gener]:[Desembre]])</f>
        <v>0</v>
      </c>
    </row>
    <row r="28" spans="1:15" x14ac:dyDescent="0.25">
      <c r="A28" s="13">
        <v>24</v>
      </c>
      <c r="B28" s="46" t="s">
        <v>44</v>
      </c>
      <c r="C28" s="222">
        <v>11620</v>
      </c>
      <c r="D28" s="223">
        <v>11050</v>
      </c>
      <c r="E28" s="223">
        <v>10660</v>
      </c>
      <c r="F28" s="223">
        <v>9360</v>
      </c>
      <c r="G28" s="223">
        <v>16360</v>
      </c>
      <c r="H28" s="223">
        <f>11160</f>
        <v>11160</v>
      </c>
      <c r="I28" s="224">
        <v>16240</v>
      </c>
      <c r="J28" s="225">
        <v>13160</v>
      </c>
      <c r="K28" s="11">
        <v>13680</v>
      </c>
      <c r="L28" s="11">
        <v>11400</v>
      </c>
      <c r="M28" s="11">
        <v>12200</v>
      </c>
      <c r="N28" s="12">
        <v>10960</v>
      </c>
      <c r="O28" s="241">
        <f>SUM(Tabla25[[#This Row],[Gener]:[Desembre]])</f>
        <v>147850</v>
      </c>
    </row>
    <row r="29" spans="1:15" x14ac:dyDescent="0.25">
      <c r="A29" s="13">
        <v>25</v>
      </c>
      <c r="B29" s="46" t="s">
        <v>20</v>
      </c>
      <c r="C29" s="22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2"/>
      <c r="O29" s="241">
        <f>SUM(Tabla25[[#This Row],[Gener]:[Desembre]])</f>
        <v>0</v>
      </c>
    </row>
    <row r="30" spans="1:15" x14ac:dyDescent="0.25">
      <c r="A30" s="13">
        <v>26</v>
      </c>
      <c r="B30" s="46" t="s">
        <v>45</v>
      </c>
      <c r="C30" s="221">
        <v>6200</v>
      </c>
      <c r="D30" s="11">
        <v>4200</v>
      </c>
      <c r="E30" s="11">
        <v>4660</v>
      </c>
      <c r="F30" s="11">
        <v>5000</v>
      </c>
      <c r="G30" s="11">
        <v>6500</v>
      </c>
      <c r="H30" s="11">
        <f>5640</f>
        <v>5640</v>
      </c>
      <c r="I30" s="11">
        <v>6980</v>
      </c>
      <c r="J30" s="11">
        <v>4680</v>
      </c>
      <c r="K30" s="11">
        <v>5360</v>
      </c>
      <c r="L30" s="11">
        <v>6200</v>
      </c>
      <c r="M30" s="11">
        <v>5120</v>
      </c>
      <c r="N30" s="12">
        <v>5160</v>
      </c>
      <c r="O30" s="241">
        <f>SUM(Tabla25[[#This Row],[Gener]:[Desembre]])</f>
        <v>65700</v>
      </c>
    </row>
    <row r="31" spans="1:15" x14ac:dyDescent="0.25">
      <c r="A31" s="13">
        <v>27</v>
      </c>
      <c r="B31" s="46" t="s">
        <v>46</v>
      </c>
      <c r="C31" s="222"/>
      <c r="D31" s="223"/>
      <c r="E31" s="223"/>
      <c r="F31" s="223"/>
      <c r="G31" s="11"/>
      <c r="H31" s="11"/>
      <c r="I31" s="11"/>
      <c r="J31" s="11"/>
      <c r="K31" s="11"/>
      <c r="L31" s="11"/>
      <c r="M31" s="11"/>
      <c r="N31" s="12"/>
      <c r="O31" s="241">
        <f>SUM(Tabla25[[#This Row],[Gener]:[Desembre]])</f>
        <v>0</v>
      </c>
    </row>
    <row r="32" spans="1:15" x14ac:dyDescent="0.25">
      <c r="A32" s="13">
        <v>28</v>
      </c>
      <c r="B32" s="46" t="s">
        <v>47</v>
      </c>
      <c r="C32" s="22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2"/>
      <c r="O32" s="241">
        <f>SUM(Tabla25[[#This Row],[Gener]:[Desembre]])</f>
        <v>0</v>
      </c>
    </row>
    <row r="33" spans="1:15" x14ac:dyDescent="0.25">
      <c r="A33" s="13">
        <v>29</v>
      </c>
      <c r="B33" s="46" t="s">
        <v>48</v>
      </c>
      <c r="C33" s="22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2"/>
      <c r="O33" s="241">
        <f>SUM(Tabla25[[#This Row],[Gener]:[Desembre]])</f>
        <v>0</v>
      </c>
    </row>
    <row r="34" spans="1:15" x14ac:dyDescent="0.25">
      <c r="A34" s="13">
        <v>30</v>
      </c>
      <c r="B34" s="46" t="s">
        <v>50</v>
      </c>
      <c r="C34" s="221">
        <f>120+15940</f>
        <v>16060</v>
      </c>
      <c r="D34" s="11">
        <f>180+10840</f>
        <v>11020</v>
      </c>
      <c r="E34" s="11">
        <f>200+12100</f>
        <v>12300</v>
      </c>
      <c r="F34" s="11">
        <f>160+11420</f>
        <v>11580</v>
      </c>
      <c r="G34" s="11">
        <f>200+15880+140</f>
        <v>16220</v>
      </c>
      <c r="H34" s="11">
        <f>240+14180</f>
        <v>14420</v>
      </c>
      <c r="I34" s="11">
        <f>16940+380</f>
        <v>17320</v>
      </c>
      <c r="J34" s="11">
        <f>40+11200</f>
        <v>11240</v>
      </c>
      <c r="K34" s="11">
        <f>280+12460</f>
        <v>12740</v>
      </c>
      <c r="L34" s="11">
        <v>15040</v>
      </c>
      <c r="M34" s="11">
        <f>240+13400</f>
        <v>13640</v>
      </c>
      <c r="N34" s="12">
        <f>40+14300</f>
        <v>14340</v>
      </c>
      <c r="O34" s="241">
        <f>SUM(Tabla25[[#This Row],[Gener]:[Desembre]])</f>
        <v>165920</v>
      </c>
    </row>
    <row r="35" spans="1:15" x14ac:dyDescent="0.25">
      <c r="A35" s="13">
        <v>31</v>
      </c>
      <c r="B35" s="46" t="s">
        <v>51</v>
      </c>
      <c r="C35" s="22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2"/>
      <c r="O35" s="241">
        <f>SUM(Tabla25[[#This Row],[Gener]:[Desembre]])</f>
        <v>0</v>
      </c>
    </row>
    <row r="36" spans="1:15" x14ac:dyDescent="0.25">
      <c r="A36" s="13">
        <v>32</v>
      </c>
      <c r="B36" s="46" t="s">
        <v>52</v>
      </c>
      <c r="C36" s="22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2"/>
      <c r="O36" s="241">
        <f>SUM(Tabla25[[#This Row],[Gener]:[Desembre]])</f>
        <v>0</v>
      </c>
    </row>
    <row r="37" spans="1:15" x14ac:dyDescent="0.25">
      <c r="A37" s="13">
        <v>33</v>
      </c>
      <c r="B37" s="46" t="s">
        <v>21</v>
      </c>
      <c r="C37" s="221"/>
      <c r="D37" s="11"/>
      <c r="E37" s="11"/>
      <c r="F37" s="11"/>
      <c r="G37" s="11"/>
      <c r="H37" s="11"/>
      <c r="I37" s="11"/>
      <c r="J37" s="11"/>
      <c r="K37" s="11"/>
      <c r="L37" s="11">
        <v>900</v>
      </c>
      <c r="M37" s="11"/>
      <c r="N37" s="12"/>
      <c r="O37" s="241">
        <f>SUM(Tabla25[[#This Row],[Gener]:[Desembre]])</f>
        <v>900</v>
      </c>
    </row>
    <row r="38" spans="1:15" x14ac:dyDescent="0.25">
      <c r="A38" s="13">
        <v>34</v>
      </c>
      <c r="B38" s="46" t="s">
        <v>22</v>
      </c>
      <c r="C38" s="22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2"/>
      <c r="O38" s="241">
        <f>SUM(Tabla25[[#This Row],[Gener]:[Desembre]])</f>
        <v>0</v>
      </c>
    </row>
    <row r="39" spans="1:15" x14ac:dyDescent="0.25">
      <c r="A39" s="13">
        <v>35</v>
      </c>
      <c r="B39" s="46" t="s">
        <v>23</v>
      </c>
      <c r="C39" s="22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2"/>
      <c r="O39" s="241">
        <f>SUM(Tabla25[[#This Row],[Gener]:[Desembre]])</f>
        <v>0</v>
      </c>
    </row>
    <row r="40" spans="1:15" x14ac:dyDescent="0.25">
      <c r="A40" s="13">
        <v>36</v>
      </c>
      <c r="B40" s="46" t="s">
        <v>24</v>
      </c>
      <c r="C40" s="22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2"/>
      <c r="O40" s="241">
        <f>SUM(Tabla25[[#This Row],[Gener]:[Desembre]])</f>
        <v>0</v>
      </c>
    </row>
    <row r="41" spans="1:15" x14ac:dyDescent="0.25">
      <c r="A41" s="13">
        <v>37</v>
      </c>
      <c r="B41" s="46" t="s">
        <v>25</v>
      </c>
      <c r="C41" s="22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2"/>
      <c r="O41" s="241">
        <f>SUM(Tabla25[[#This Row],[Gener]:[Desembre]])</f>
        <v>0</v>
      </c>
    </row>
    <row r="42" spans="1:15" x14ac:dyDescent="0.25">
      <c r="A42" s="13">
        <v>38</v>
      </c>
      <c r="B42" s="46" t="s">
        <v>5</v>
      </c>
      <c r="C42" s="22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2"/>
      <c r="O42" s="241">
        <f>SUM(Tabla25[[#This Row],[Gener]:[Desembre]])</f>
        <v>0</v>
      </c>
    </row>
    <row r="43" spans="1:15" x14ac:dyDescent="0.25">
      <c r="A43" s="13">
        <v>39</v>
      </c>
      <c r="B43" s="46" t="s">
        <v>6</v>
      </c>
      <c r="C43" s="222">
        <v>6460</v>
      </c>
      <c r="D43" s="223">
        <v>4360</v>
      </c>
      <c r="E43" s="223">
        <v>5040</v>
      </c>
      <c r="F43" s="223">
        <v>4660</v>
      </c>
      <c r="G43" s="223">
        <v>5900</v>
      </c>
      <c r="H43" s="223">
        <f>5820</f>
        <v>5820</v>
      </c>
      <c r="I43" s="224">
        <v>7840</v>
      </c>
      <c r="J43" s="225">
        <v>6000</v>
      </c>
      <c r="K43" s="11">
        <v>5600</v>
      </c>
      <c r="L43" s="11">
        <v>6320</v>
      </c>
      <c r="M43" s="11">
        <v>5240</v>
      </c>
      <c r="N43" s="12">
        <v>5900</v>
      </c>
      <c r="O43" s="241">
        <f>SUM(Tabla25[[#This Row],[Gener]:[Desembre]])</f>
        <v>69140</v>
      </c>
    </row>
    <row r="44" spans="1:15" x14ac:dyDescent="0.25">
      <c r="A44" s="13">
        <v>40</v>
      </c>
      <c r="B44" s="46" t="s">
        <v>8</v>
      </c>
      <c r="C44" s="43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5"/>
      <c r="O44" s="241">
        <f>SUM(Tabla25[[#This Row],[Gener]:[Desembre]])</f>
        <v>0</v>
      </c>
    </row>
    <row r="45" spans="1:15" ht="15.75" thickBot="1" x14ac:dyDescent="0.3">
      <c r="A45" s="92">
        <v>41</v>
      </c>
      <c r="B45" s="47" t="s">
        <v>49</v>
      </c>
      <c r="C45" s="43"/>
      <c r="D45" s="34"/>
      <c r="E45" s="34"/>
      <c r="F45" s="21"/>
      <c r="G45" s="21"/>
      <c r="H45" s="21"/>
      <c r="I45" s="21"/>
      <c r="J45" s="34"/>
      <c r="K45" s="34"/>
      <c r="L45" s="21"/>
      <c r="M45" s="21"/>
      <c r="N45" s="36"/>
      <c r="O45" s="242">
        <f>SUM(Tabla25[[#This Row],[Gener]:[Desembre]])</f>
        <v>0</v>
      </c>
    </row>
    <row r="46" spans="1:15" s="4" customFormat="1" ht="15.75" thickBot="1" x14ac:dyDescent="0.3">
      <c r="A46" s="93"/>
      <c r="B46" s="22" t="s">
        <v>71</v>
      </c>
      <c r="C46" s="42">
        <f t="shared" ref="C46:L46" si="0">SUBTOTAL(109,C5:C45)</f>
        <v>103820</v>
      </c>
      <c r="D46" s="6">
        <f t="shared" si="0"/>
        <v>90610</v>
      </c>
      <c r="E46" s="6">
        <f t="shared" si="0"/>
        <v>106300</v>
      </c>
      <c r="F46" s="6">
        <f t="shared" si="0"/>
        <v>100890</v>
      </c>
      <c r="G46" s="6">
        <f t="shared" si="0"/>
        <v>133260</v>
      </c>
      <c r="H46" s="6">
        <f t="shared" si="0"/>
        <v>111540</v>
      </c>
      <c r="I46" s="6">
        <f t="shared" si="0"/>
        <v>138406</v>
      </c>
      <c r="J46" s="6">
        <f t="shared" si="0"/>
        <v>99960</v>
      </c>
      <c r="K46" s="6">
        <f t="shared" si="0"/>
        <v>130040</v>
      </c>
      <c r="L46" s="6">
        <f t="shared" si="0"/>
        <v>138815</v>
      </c>
      <c r="M46" s="6">
        <f>SUM(M5:M45)</f>
        <v>129980</v>
      </c>
      <c r="N46" s="6">
        <f>SUM(N5:N45)</f>
        <v>138300</v>
      </c>
      <c r="O46" s="8">
        <f>SUBTOTAL(109,O5:O45)</f>
        <v>1421921</v>
      </c>
    </row>
    <row r="47" spans="1:15" ht="15.75" thickBot="1" x14ac:dyDescent="0.3">
      <c r="A47" s="11"/>
      <c r="B47" s="48" t="s">
        <v>58</v>
      </c>
      <c r="C47" s="44">
        <v>71860</v>
      </c>
      <c r="D47" s="37">
        <v>59420</v>
      </c>
      <c r="E47" s="37">
        <v>80440</v>
      </c>
      <c r="F47" s="37">
        <v>67800</v>
      </c>
      <c r="G47" s="37">
        <v>71066.67</v>
      </c>
      <c r="H47" s="37">
        <v>84208.42</v>
      </c>
      <c r="I47" s="37">
        <v>79242.850000000006</v>
      </c>
      <c r="J47" s="37">
        <v>67563.08</v>
      </c>
      <c r="K47" s="37">
        <v>81360</v>
      </c>
      <c r="L47" s="37">
        <v>90045.09</v>
      </c>
      <c r="M47" s="37">
        <v>96020</v>
      </c>
      <c r="N47" s="39">
        <v>98430</v>
      </c>
      <c r="O47" s="41">
        <f>SUM(Tabla25[[#This Row],[Gener]:[Desembre]])</f>
        <v>947456.10999999987</v>
      </c>
    </row>
    <row r="48" spans="1:15" x14ac:dyDescent="0.25">
      <c r="A48" s="21"/>
      <c r="B48" s="83" t="s">
        <v>59</v>
      </c>
      <c r="C48" s="85">
        <f>(C46/C47)-1</f>
        <v>0.44475368772613422</v>
      </c>
      <c r="D48" s="85">
        <f>(D46/D47)-1</f>
        <v>0.52490743857287114</v>
      </c>
      <c r="E48" s="85">
        <f t="shared" ref="E48:O48" si="1">(E46/E47)-1</f>
        <v>0.32148184982595729</v>
      </c>
      <c r="F48" s="85">
        <f t="shared" si="1"/>
        <v>0.48805309734513269</v>
      </c>
      <c r="G48" s="85">
        <f t="shared" si="1"/>
        <v>0.87514062499340417</v>
      </c>
      <c r="H48" s="85">
        <f t="shared" si="1"/>
        <v>0.32457063082290349</v>
      </c>
      <c r="I48" s="85">
        <f t="shared" si="1"/>
        <v>0.7466055297102514</v>
      </c>
      <c r="J48" s="85">
        <f t="shared" si="1"/>
        <v>0.47950626288795584</v>
      </c>
      <c r="K48" s="85">
        <f t="shared" si="1"/>
        <v>0.59832841691248762</v>
      </c>
      <c r="L48" s="85">
        <f t="shared" si="1"/>
        <v>0.54161653900284845</v>
      </c>
      <c r="M48" s="85">
        <f t="shared" si="1"/>
        <v>0.35367631743386796</v>
      </c>
      <c r="N48" s="85">
        <f t="shared" si="1"/>
        <v>0.40505943309966463</v>
      </c>
      <c r="O48" s="85">
        <f t="shared" si="1"/>
        <v>0.50077769829359187</v>
      </c>
    </row>
    <row r="49" spans="2:16" x14ac:dyDescent="0.25">
      <c r="B49" s="18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</row>
    <row r="50" spans="2:16" x14ac:dyDescent="0.25">
      <c r="P50" s="20"/>
    </row>
    <row r="51" spans="2:16" x14ac:dyDescent="0.25">
      <c r="E51" s="84"/>
      <c r="H51" s="86"/>
      <c r="P51" s="20"/>
    </row>
  </sheetData>
  <pageMargins left="0.19685039370078741" right="0.23622047244094491" top="0.39370078740157483" bottom="0.47" header="0.19685039370078741" footer="0.26"/>
  <pageSetup paperSize="9" scale="75" orientation="landscape" r:id="rId1"/>
  <headerFooter>
    <oddHeader>&amp;L&amp;"Calibri,Normal"&amp;G&amp;C&amp;"Calibri,Normal"&amp;F&amp;R&amp;"Calibri,Normal"&amp;G</oddHeader>
    <oddFooter>&amp;L&amp;"Calibri,Normal"&amp;D&amp;C&amp;"Calibri,Normal"&amp;A&amp;R&amp;"Calibri,Normal"&amp;P de &amp;N</oddFooter>
  </headerFooter>
  <drawing r:id="rId2"/>
  <legacyDrawingHF r:id="rId3"/>
  <tableParts count="1"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53"/>
  <sheetViews>
    <sheetView showZeros="0" zoomScale="90" zoomScaleNormal="90" workbookViewId="0">
      <selection activeCell="Q55" sqref="Q55"/>
    </sheetView>
  </sheetViews>
  <sheetFormatPr baseColWidth="10" defaultColWidth="11.42578125" defaultRowHeight="15" x14ac:dyDescent="0.25"/>
  <cols>
    <col min="1" max="1" width="5.28515625" style="3" customWidth="1"/>
    <col min="2" max="2" width="26.140625" style="3" bestFit="1" customWidth="1"/>
    <col min="3" max="10" width="11.42578125" style="2"/>
    <col min="11" max="11" width="11.42578125" style="2" customWidth="1"/>
    <col min="12" max="12" width="11.42578125" style="2"/>
    <col min="13" max="14" width="11.42578125" style="2" customWidth="1"/>
    <col min="15" max="15" width="11.42578125" style="2"/>
    <col min="16" max="16384" width="11.42578125" style="3"/>
  </cols>
  <sheetData>
    <row r="1" spans="1:15" ht="15.75" x14ac:dyDescent="0.25">
      <c r="B1" s="1" t="s">
        <v>72</v>
      </c>
    </row>
    <row r="2" spans="1:15" ht="15.75" thickBot="1" x14ac:dyDescent="0.3">
      <c r="C2" s="4" t="s">
        <v>53</v>
      </c>
    </row>
    <row r="3" spans="1:15" ht="15.75" thickBot="1" x14ac:dyDescent="0.3">
      <c r="A3" s="8" t="s">
        <v>62</v>
      </c>
      <c r="B3" s="22" t="s">
        <v>57</v>
      </c>
      <c r="C3" s="5" t="s">
        <v>26</v>
      </c>
      <c r="D3" s="6" t="s">
        <v>27</v>
      </c>
      <c r="E3" s="6" t="s">
        <v>28</v>
      </c>
      <c r="F3" s="6" t="s">
        <v>29</v>
      </c>
      <c r="G3" s="6" t="s">
        <v>30</v>
      </c>
      <c r="H3" s="6" t="s">
        <v>31</v>
      </c>
      <c r="I3" s="6" t="s">
        <v>32</v>
      </c>
      <c r="J3" s="6" t="s">
        <v>33</v>
      </c>
      <c r="K3" s="6" t="s">
        <v>34</v>
      </c>
      <c r="L3" s="6" t="s">
        <v>35</v>
      </c>
      <c r="M3" s="6" t="s">
        <v>36</v>
      </c>
      <c r="N3" s="7" t="s">
        <v>37</v>
      </c>
      <c r="O3" s="27" t="s">
        <v>38</v>
      </c>
    </row>
    <row r="4" spans="1:15" x14ac:dyDescent="0.25">
      <c r="A4" s="103">
        <v>1</v>
      </c>
      <c r="B4" s="101" t="s">
        <v>39</v>
      </c>
      <c r="C4" s="55">
        <f>10607.1</f>
        <v>10607.1</v>
      </c>
      <c r="D4" s="50">
        <v>8634.35</v>
      </c>
      <c r="E4" s="70">
        <v>8233.17</v>
      </c>
      <c r="F4" s="9">
        <v>10363.64</v>
      </c>
      <c r="G4" s="9">
        <v>9460.61</v>
      </c>
      <c r="H4" s="9">
        <v>10319.9</v>
      </c>
      <c r="I4" s="9">
        <v>12820.91</v>
      </c>
      <c r="J4" s="9">
        <v>12313.44</v>
      </c>
      <c r="K4" s="9">
        <v>12011.92</v>
      </c>
      <c r="L4" s="9">
        <v>11956.24</v>
      </c>
      <c r="M4" s="9">
        <v>11347.89</v>
      </c>
      <c r="N4" s="10">
        <v>11203.24</v>
      </c>
      <c r="O4" s="138">
        <f>SUM(Tabla3[[#This Row],[Gener]:[Desembre]])</f>
        <v>129272.41000000002</v>
      </c>
    </row>
    <row r="5" spans="1:15" x14ac:dyDescent="0.25">
      <c r="A5" s="13">
        <v>2</v>
      </c>
      <c r="B5" s="102" t="s">
        <v>0</v>
      </c>
      <c r="C5" s="56">
        <f>11754.5</f>
        <v>11754.5</v>
      </c>
      <c r="D5" s="52">
        <f>9274.41</f>
        <v>9274.41</v>
      </c>
      <c r="E5" s="71">
        <v>9610.15</v>
      </c>
      <c r="F5" s="11">
        <v>13329.3</v>
      </c>
      <c r="G5" s="11">
        <v>10944.75</v>
      </c>
      <c r="H5" s="11">
        <v>11442.38</v>
      </c>
      <c r="I5" s="11">
        <v>14305.21</v>
      </c>
      <c r="J5" s="11">
        <v>12451.34</v>
      </c>
      <c r="K5" s="11">
        <v>13418.36</v>
      </c>
      <c r="L5" s="11">
        <v>13652.5</v>
      </c>
      <c r="M5" s="11">
        <v>11629.41</v>
      </c>
      <c r="N5" s="12">
        <v>13480</v>
      </c>
      <c r="O5" s="139">
        <f>SUM(Tabla3[[#This Row],[Gener]:[Desembre]])</f>
        <v>145292.31</v>
      </c>
    </row>
    <row r="6" spans="1:15" x14ac:dyDescent="0.25">
      <c r="A6" s="13">
        <v>3</v>
      </c>
      <c r="B6" s="102" t="s">
        <v>1</v>
      </c>
      <c r="C6" s="56">
        <f>36734.9</f>
        <v>36734.9</v>
      </c>
      <c r="D6" s="52">
        <f>35012.7</f>
        <v>35012.699999999997</v>
      </c>
      <c r="E6" s="71">
        <v>37794.89</v>
      </c>
      <c r="F6" s="11">
        <v>37805.08</v>
      </c>
      <c r="G6" s="11">
        <v>41761.089999999997</v>
      </c>
      <c r="H6" s="11">
        <v>36662.160000000003</v>
      </c>
      <c r="I6" s="11">
        <v>47161.93</v>
      </c>
      <c r="J6" s="11">
        <v>42932.44</v>
      </c>
      <c r="K6" s="11">
        <v>40320.949999999997</v>
      </c>
      <c r="L6" s="11">
        <v>39749.379999999997</v>
      </c>
      <c r="M6" s="11">
        <v>41379.69</v>
      </c>
      <c r="N6" s="12">
        <v>41804.89</v>
      </c>
      <c r="O6" s="139">
        <f>SUM(Tabla3[[#This Row],[Gener]:[Desembre]])</f>
        <v>479120.10000000003</v>
      </c>
    </row>
    <row r="7" spans="1:15" x14ac:dyDescent="0.25">
      <c r="A7" s="13">
        <v>4</v>
      </c>
      <c r="B7" s="102" t="s">
        <v>2</v>
      </c>
      <c r="C7" s="56">
        <f>1521.21</f>
        <v>1521.21</v>
      </c>
      <c r="D7" s="52">
        <f>1197.22</f>
        <v>1197.22</v>
      </c>
      <c r="E7" s="71">
        <v>1211.53</v>
      </c>
      <c r="F7" s="11">
        <v>1630.16</v>
      </c>
      <c r="G7" s="11">
        <v>1212.52</v>
      </c>
      <c r="H7" s="11">
        <v>1477.05</v>
      </c>
      <c r="I7" s="11">
        <v>1799.31</v>
      </c>
      <c r="J7" s="11">
        <v>1733.96</v>
      </c>
      <c r="K7" s="11">
        <v>1377.92</v>
      </c>
      <c r="L7" s="11">
        <v>1642.95</v>
      </c>
      <c r="M7" s="11">
        <v>1434.348</v>
      </c>
      <c r="N7" s="12">
        <v>1469.73</v>
      </c>
      <c r="O7" s="139">
        <f>SUM(Tabla3[[#This Row],[Gener]:[Desembre]])</f>
        <v>17707.907999999999</v>
      </c>
    </row>
    <row r="8" spans="1:15" x14ac:dyDescent="0.25">
      <c r="A8" s="13">
        <v>5</v>
      </c>
      <c r="B8" s="102" t="s">
        <v>3</v>
      </c>
      <c r="C8" s="56">
        <f>14683.65</f>
        <v>14683.65</v>
      </c>
      <c r="D8" s="52">
        <f>11544.48</f>
        <v>11544.48</v>
      </c>
      <c r="E8" s="71">
        <v>11578.3</v>
      </c>
      <c r="F8" s="11">
        <v>13998.46</v>
      </c>
      <c r="G8" s="11">
        <v>14054.97</v>
      </c>
      <c r="H8" s="11">
        <v>12947.52</v>
      </c>
      <c r="I8" s="11">
        <v>15941.18</v>
      </c>
      <c r="J8" s="11">
        <v>12845.96</v>
      </c>
      <c r="K8" s="11">
        <v>13312.73</v>
      </c>
      <c r="L8" s="11">
        <v>15986.51</v>
      </c>
      <c r="M8" s="11">
        <v>12203.29</v>
      </c>
      <c r="N8" s="12">
        <v>17646.5</v>
      </c>
      <c r="O8" s="139">
        <f>SUM(Tabla3[[#This Row],[Gener]:[Desembre]])</f>
        <v>166743.54999999999</v>
      </c>
    </row>
    <row r="9" spans="1:15" x14ac:dyDescent="0.25">
      <c r="A9" s="13">
        <v>6</v>
      </c>
      <c r="B9" s="102" t="s">
        <v>4</v>
      </c>
      <c r="C9" s="56">
        <f>25769.26</f>
        <v>25769.26</v>
      </c>
      <c r="D9" s="52">
        <f>22719.92</f>
        <v>22719.919999999998</v>
      </c>
      <c r="E9" s="71">
        <v>24574.98</v>
      </c>
      <c r="F9" s="11">
        <v>26643.759999999998</v>
      </c>
      <c r="G9" s="11">
        <v>27105.37</v>
      </c>
      <c r="H9" s="11">
        <v>26166.44</v>
      </c>
      <c r="I9" s="11">
        <v>29800.720000000001</v>
      </c>
      <c r="J9" s="11">
        <v>27318.27</v>
      </c>
      <c r="K9" s="11">
        <v>26979.08</v>
      </c>
      <c r="L9" s="11">
        <v>29918.639999999999</v>
      </c>
      <c r="M9" s="11">
        <v>26836.65</v>
      </c>
      <c r="N9" s="12">
        <v>29404.48</v>
      </c>
      <c r="O9" s="139">
        <f>SUM(Tabla3[[#This Row],[Gener]:[Desembre]])</f>
        <v>323237.57</v>
      </c>
    </row>
    <row r="10" spans="1:15" x14ac:dyDescent="0.25">
      <c r="A10" s="13">
        <v>7</v>
      </c>
      <c r="B10" s="102" t="s">
        <v>60</v>
      </c>
      <c r="C10" s="94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6"/>
      <c r="O10" s="140"/>
    </row>
    <row r="11" spans="1:15" x14ac:dyDescent="0.25">
      <c r="A11" s="13">
        <v>8</v>
      </c>
      <c r="B11" s="102" t="s">
        <v>7</v>
      </c>
      <c r="C11" s="56">
        <f>2407.12</f>
        <v>2407.12</v>
      </c>
      <c r="D11" s="52">
        <f>1986.55</f>
        <v>1986.55</v>
      </c>
      <c r="E11" s="71">
        <v>2154.4499999999998</v>
      </c>
      <c r="F11" s="97">
        <v>3055.8</v>
      </c>
      <c r="G11" s="97">
        <v>2181.83</v>
      </c>
      <c r="H11" s="97">
        <v>2736.8</v>
      </c>
      <c r="I11" s="97">
        <v>3446.26</v>
      </c>
      <c r="J11" s="97">
        <v>3132.96</v>
      </c>
      <c r="K11" s="97">
        <v>2244.08</v>
      </c>
      <c r="L11" s="97">
        <v>2893.5</v>
      </c>
      <c r="M11" s="97">
        <v>2136.39</v>
      </c>
      <c r="N11" s="98">
        <v>2409.89</v>
      </c>
      <c r="O11" s="139">
        <f>SUM(Tabla3[[#This Row],[Gener]:[Desembre]])</f>
        <v>30785.629999999997</v>
      </c>
    </row>
    <row r="12" spans="1:15" x14ac:dyDescent="0.25">
      <c r="A12" s="13">
        <v>9</v>
      </c>
      <c r="B12" s="102" t="s">
        <v>40</v>
      </c>
      <c r="C12" s="56"/>
      <c r="D12" s="52"/>
      <c r="E12" s="71"/>
      <c r="F12" s="11"/>
      <c r="G12" s="11"/>
      <c r="H12" s="11"/>
      <c r="I12" s="11"/>
      <c r="J12" s="11"/>
      <c r="K12" s="11"/>
      <c r="L12" s="11"/>
      <c r="M12" s="11"/>
      <c r="N12" s="12"/>
      <c r="O12" s="139">
        <f>SUM(Tabla3[[#This Row],[Gener]:[Desembre]])</f>
        <v>0</v>
      </c>
    </row>
    <row r="13" spans="1:15" x14ac:dyDescent="0.25">
      <c r="A13" s="13">
        <v>10</v>
      </c>
      <c r="B13" s="102" t="s">
        <v>41</v>
      </c>
      <c r="C13" s="56">
        <f>21008.05+380</f>
        <v>21388.05</v>
      </c>
      <c r="D13" s="52">
        <f>19157.06+480</f>
        <v>19637.060000000001</v>
      </c>
      <c r="E13" s="71">
        <f>25084.59+380</f>
        <v>25464.59</v>
      </c>
      <c r="F13" s="11">
        <f>23598.92+520</f>
        <v>24118.92</v>
      </c>
      <c r="G13" s="11">
        <f>560+25216.37</f>
        <v>25776.37</v>
      </c>
      <c r="H13" s="11">
        <f>21900.64+640</f>
        <v>22540.639999999999</v>
      </c>
      <c r="I13" s="11">
        <f>26059.95+660</f>
        <v>26719.95</v>
      </c>
      <c r="J13" s="11">
        <f>22265.25+560</f>
        <v>22825.25</v>
      </c>
      <c r="K13" s="11">
        <f>26306.15+440</f>
        <v>26746.15</v>
      </c>
      <c r="L13" s="11">
        <v>24633.46</v>
      </c>
      <c r="M13" s="11">
        <f>24737.79+440</f>
        <v>25177.79</v>
      </c>
      <c r="N13" s="12">
        <f>26729.61+640</f>
        <v>27369.61</v>
      </c>
      <c r="O13" s="139">
        <f>SUM(Tabla3[[#This Row],[Gener]:[Desembre]])</f>
        <v>292397.83999999997</v>
      </c>
    </row>
    <row r="14" spans="1:15" x14ac:dyDescent="0.25">
      <c r="A14" s="13">
        <v>11</v>
      </c>
      <c r="B14" s="102" t="s">
        <v>9</v>
      </c>
      <c r="C14" s="56">
        <f>74260.02+2740</f>
        <v>77000.02</v>
      </c>
      <c r="D14" s="52">
        <f>66235.96+2660</f>
        <v>68895.960000000006</v>
      </c>
      <c r="E14" s="71">
        <f>3440+72947.28</f>
        <v>76387.28</v>
      </c>
      <c r="F14" s="11">
        <f>72347.54+2580</f>
        <v>74927.539999999994</v>
      </c>
      <c r="G14" s="11">
        <f>2620+78688.23</f>
        <v>81308.23</v>
      </c>
      <c r="H14" s="11">
        <f>72802.7+4380</f>
        <v>77182.7</v>
      </c>
      <c r="I14" s="11">
        <f>82657.18+3120</f>
        <v>85777.18</v>
      </c>
      <c r="J14" s="11">
        <f>70723.67+2540</f>
        <v>73263.67</v>
      </c>
      <c r="K14" s="11">
        <f>82812.8+3540</f>
        <v>86352.8</v>
      </c>
      <c r="L14" s="11">
        <v>87499.62</v>
      </c>
      <c r="M14" s="11">
        <f>57525.62+3260+25600</f>
        <v>86385.62</v>
      </c>
      <c r="N14" s="12">
        <f>40718.46+3420+46960</f>
        <v>91098.459999999992</v>
      </c>
      <c r="O14" s="139">
        <f>SUM(Tabla3[[#This Row],[Gener]:[Desembre]])</f>
        <v>966079.08</v>
      </c>
    </row>
    <row r="15" spans="1:15" x14ac:dyDescent="0.25">
      <c r="A15" s="13">
        <v>12</v>
      </c>
      <c r="B15" s="102" t="s">
        <v>10</v>
      </c>
      <c r="C15" s="56">
        <f>3332.91</f>
        <v>3332.91</v>
      </c>
      <c r="D15" s="52">
        <f>3071.81</f>
        <v>3071.81</v>
      </c>
      <c r="E15" s="71">
        <v>3078.84</v>
      </c>
      <c r="F15" s="11">
        <v>3651.98</v>
      </c>
      <c r="G15" s="11">
        <v>3326.6</v>
      </c>
      <c r="H15" s="11">
        <v>3739</v>
      </c>
      <c r="I15" s="11">
        <v>4202.4399999999996</v>
      </c>
      <c r="J15" s="11">
        <v>3379.4</v>
      </c>
      <c r="K15" s="11">
        <v>3190.83</v>
      </c>
      <c r="L15" s="11">
        <v>3455.23</v>
      </c>
      <c r="M15" s="11">
        <v>2831.89</v>
      </c>
      <c r="N15" s="12">
        <v>3882.44</v>
      </c>
      <c r="O15" s="139">
        <f>SUM(Tabla3[[#This Row],[Gener]:[Desembre]])</f>
        <v>41143.370000000003</v>
      </c>
    </row>
    <row r="16" spans="1:15" x14ac:dyDescent="0.25">
      <c r="A16" s="13">
        <v>13</v>
      </c>
      <c r="B16" s="102" t="s">
        <v>42</v>
      </c>
      <c r="C16" s="56">
        <f>15540.83</f>
        <v>15540.83</v>
      </c>
      <c r="D16" s="52">
        <f>12957.3</f>
        <v>12957.3</v>
      </c>
      <c r="E16" s="71">
        <v>16119.01</v>
      </c>
      <c r="F16" s="11">
        <v>15106.52</v>
      </c>
      <c r="G16" s="11">
        <v>15532.78</v>
      </c>
      <c r="H16" s="11">
        <v>15650.74</v>
      </c>
      <c r="I16" s="11">
        <v>16898.38</v>
      </c>
      <c r="J16" s="11">
        <v>15808.6</v>
      </c>
      <c r="K16" s="11">
        <v>15176.54</v>
      </c>
      <c r="L16" s="11">
        <v>15345.05</v>
      </c>
      <c r="M16" s="11">
        <v>13679.4</v>
      </c>
      <c r="N16" s="12">
        <v>15374.17</v>
      </c>
      <c r="O16" s="139">
        <f>SUM(Tabla3[[#This Row],[Gener]:[Desembre]])</f>
        <v>183189.32</v>
      </c>
    </row>
    <row r="17" spans="1:15" x14ac:dyDescent="0.25">
      <c r="A17" s="13">
        <v>14</v>
      </c>
      <c r="B17" s="102" t="s">
        <v>11</v>
      </c>
      <c r="C17" s="56"/>
      <c r="D17" s="52"/>
      <c r="E17" s="71"/>
      <c r="F17" s="11"/>
      <c r="G17" s="11"/>
      <c r="H17" s="11"/>
      <c r="I17" s="11"/>
      <c r="J17" s="11"/>
      <c r="K17" s="11"/>
      <c r="L17" s="11"/>
      <c r="M17" s="11"/>
      <c r="N17" s="12"/>
      <c r="O17" s="139">
        <f>SUM(Tabla3[[#This Row],[Gener]:[Desembre]])</f>
        <v>0</v>
      </c>
    </row>
    <row r="18" spans="1:15" x14ac:dyDescent="0.25">
      <c r="A18" s="13">
        <v>15</v>
      </c>
      <c r="B18" s="102" t="s">
        <v>12</v>
      </c>
      <c r="C18" s="56">
        <f>20343.07</f>
        <v>20343.07</v>
      </c>
      <c r="D18" s="52">
        <v>22091.87</v>
      </c>
      <c r="E18" s="71">
        <v>27010.09</v>
      </c>
      <c r="F18" s="11">
        <v>21374.880000000001</v>
      </c>
      <c r="G18" s="11">
        <v>27700.27</v>
      </c>
      <c r="H18" s="11">
        <v>24658.36</v>
      </c>
      <c r="I18" s="11">
        <v>26029.9</v>
      </c>
      <c r="J18" s="11">
        <v>28215.14</v>
      </c>
      <c r="K18" s="11">
        <v>24325.48</v>
      </c>
      <c r="L18" s="11">
        <v>23020.63</v>
      </c>
      <c r="M18" s="11">
        <v>29081.22</v>
      </c>
      <c r="N18" s="12">
        <v>27941.9</v>
      </c>
      <c r="O18" s="139">
        <f>SUM(Tabla3[[#This Row],[Gener]:[Desembre]])</f>
        <v>301792.81000000006</v>
      </c>
    </row>
    <row r="19" spans="1:15" x14ac:dyDescent="0.25">
      <c r="A19" s="13">
        <v>16</v>
      </c>
      <c r="B19" s="102" t="s">
        <v>13</v>
      </c>
      <c r="C19" s="56"/>
      <c r="D19" s="52"/>
      <c r="E19" s="71"/>
      <c r="F19" s="11"/>
      <c r="G19" s="11"/>
      <c r="H19" s="11"/>
      <c r="I19" s="11"/>
      <c r="J19" s="11"/>
      <c r="K19" s="11"/>
      <c r="L19" s="11"/>
      <c r="M19" s="11"/>
      <c r="N19" s="12"/>
      <c r="O19" s="139">
        <f>SUM(Tabla3[[#This Row],[Gener]:[Desembre]])</f>
        <v>0</v>
      </c>
    </row>
    <row r="20" spans="1:15" x14ac:dyDescent="0.25">
      <c r="A20" s="13">
        <v>17</v>
      </c>
      <c r="B20" s="102" t="s">
        <v>14</v>
      </c>
      <c r="C20" s="56">
        <f>16527.39+2760</f>
        <v>19287.39</v>
      </c>
      <c r="D20" s="52">
        <f>15101.31+2280</f>
        <v>17381.309999999998</v>
      </c>
      <c r="E20" s="71">
        <f>17888.22+3060</f>
        <v>20948.22</v>
      </c>
      <c r="F20" s="11">
        <f>17649.2+2220</f>
        <v>19869.2</v>
      </c>
      <c r="G20" s="11">
        <f>2680+18468.82</f>
        <v>21148.82</v>
      </c>
      <c r="H20" s="11">
        <f>18032.03+3860</f>
        <v>21892.03</v>
      </c>
      <c r="I20" s="11">
        <f>18931.55+2960</f>
        <v>21891.55</v>
      </c>
      <c r="J20" s="11">
        <f>16548.92+2400</f>
        <v>18948.919999999998</v>
      </c>
      <c r="K20" s="11">
        <f>19728.37+2880</f>
        <v>22608.37</v>
      </c>
      <c r="L20" s="11">
        <v>19049.29</v>
      </c>
      <c r="M20" s="11">
        <f>16379.38+2740</f>
        <v>19119.379999999997</v>
      </c>
      <c r="N20" s="12">
        <f>19335.95+2360</f>
        <v>21695.95</v>
      </c>
      <c r="O20" s="139">
        <f>SUM(Tabla3[[#This Row],[Gener]:[Desembre]])</f>
        <v>243840.43000000002</v>
      </c>
    </row>
    <row r="21" spans="1:15" x14ac:dyDescent="0.25">
      <c r="A21" s="13">
        <v>18</v>
      </c>
      <c r="B21" s="102" t="s">
        <v>15</v>
      </c>
      <c r="C21" s="56">
        <f>72983.63</f>
        <v>72983.63</v>
      </c>
      <c r="D21" s="52">
        <f>68375.23</f>
        <v>68375.23</v>
      </c>
      <c r="E21" s="71">
        <v>72071.47</v>
      </c>
      <c r="F21" s="11">
        <v>77496.12</v>
      </c>
      <c r="G21" s="11">
        <v>86094.73</v>
      </c>
      <c r="H21" s="11">
        <v>75184.98</v>
      </c>
      <c r="I21" s="11">
        <f>81642.34+3760</f>
        <v>85402.34</v>
      </c>
      <c r="J21" s="11">
        <f>34748.79+32880</f>
        <v>67628.790000000008</v>
      </c>
      <c r="K21" s="11">
        <f>31501.08+44220</f>
        <v>75721.08</v>
      </c>
      <c r="L21" s="11">
        <v>80056.59</v>
      </c>
      <c r="M21" s="11">
        <f>14570.92+61260</f>
        <v>75830.92</v>
      </c>
      <c r="N21" s="12">
        <f>14897.11+67340</f>
        <v>82237.11</v>
      </c>
      <c r="O21" s="139">
        <f>SUM(Tabla3[[#This Row],[Gener]:[Desembre]])</f>
        <v>919082.98999999987</v>
      </c>
    </row>
    <row r="22" spans="1:15" x14ac:dyDescent="0.25">
      <c r="A22" s="13">
        <v>19</v>
      </c>
      <c r="B22" s="102" t="s">
        <v>16</v>
      </c>
      <c r="C22" s="56">
        <f>11660+704.12</f>
        <v>12364.12</v>
      </c>
      <c r="D22" s="52">
        <f>10060+510.77</f>
        <v>10570.77</v>
      </c>
      <c r="E22" s="71">
        <f>13020+736.88</f>
        <v>13756.88</v>
      </c>
      <c r="F22" s="11">
        <f>11360+652.97</f>
        <v>12012.97</v>
      </c>
      <c r="G22" s="11">
        <f>11840+1038.94</f>
        <v>12878.94</v>
      </c>
      <c r="H22" s="11">
        <f>10560+740.79</f>
        <v>11300.79</v>
      </c>
      <c r="I22" s="11">
        <f>13240+902.97</f>
        <v>14142.97</v>
      </c>
      <c r="J22" s="11">
        <f>9920+756.72</f>
        <v>10676.72</v>
      </c>
      <c r="K22" s="11">
        <f>13340+1016.01</f>
        <v>14356.01</v>
      </c>
      <c r="L22" s="11">
        <v>15609.369999999999</v>
      </c>
      <c r="M22" s="11">
        <f>11840+844.03</f>
        <v>12684.03</v>
      </c>
      <c r="N22" s="12">
        <f>13600+832.65</f>
        <v>14432.65</v>
      </c>
      <c r="O22" s="139">
        <f>SUM(Tabla3[[#This Row],[Gener]:[Desembre]])</f>
        <v>154786.22</v>
      </c>
    </row>
    <row r="23" spans="1:15" x14ac:dyDescent="0.25">
      <c r="A23" s="13">
        <v>20</v>
      </c>
      <c r="B23" s="102" t="s">
        <v>17</v>
      </c>
      <c r="C23" s="56"/>
      <c r="D23" s="52"/>
      <c r="E23" s="71"/>
      <c r="F23" s="11"/>
      <c r="G23" s="11"/>
      <c r="H23" s="11"/>
      <c r="I23" s="11"/>
      <c r="J23" s="11"/>
      <c r="K23" s="11"/>
      <c r="L23" s="11"/>
      <c r="M23" s="11"/>
      <c r="N23" s="12"/>
      <c r="O23" s="139">
        <f>SUM(Tabla3[[#This Row],[Gener]:[Desembre]])</f>
        <v>0</v>
      </c>
    </row>
    <row r="24" spans="1:15" x14ac:dyDescent="0.25">
      <c r="A24" s="13">
        <v>21</v>
      </c>
      <c r="B24" s="102" t="s">
        <v>18</v>
      </c>
      <c r="C24" s="56">
        <f>1071.27</f>
        <v>1071.27</v>
      </c>
      <c r="D24" s="52">
        <f>966.08</f>
        <v>966.08</v>
      </c>
      <c r="E24" s="71">
        <v>1082.1199999999999</v>
      </c>
      <c r="F24" s="11">
        <v>1451.03</v>
      </c>
      <c r="G24" s="11">
        <v>1099.43</v>
      </c>
      <c r="H24" s="11">
        <v>1642.04</v>
      </c>
      <c r="I24" s="11">
        <v>2079.6</v>
      </c>
      <c r="J24" s="11">
        <v>1999.26</v>
      </c>
      <c r="K24" s="11">
        <v>1341.91</v>
      </c>
      <c r="L24" s="11">
        <v>1398.43</v>
      </c>
      <c r="M24" s="11">
        <v>1097.3</v>
      </c>
      <c r="N24" s="12">
        <v>1203.7</v>
      </c>
      <c r="O24" s="139">
        <f>SUM(Tabla3[[#This Row],[Gener]:[Desembre]])</f>
        <v>16432.169999999998</v>
      </c>
    </row>
    <row r="25" spans="1:15" x14ac:dyDescent="0.25">
      <c r="A25" s="13">
        <v>22</v>
      </c>
      <c r="B25" s="102" t="s">
        <v>19</v>
      </c>
      <c r="C25" s="56">
        <f>18194.78+340</f>
        <v>18534.78</v>
      </c>
      <c r="D25" s="52">
        <f>17524.83+340</f>
        <v>17864.830000000002</v>
      </c>
      <c r="E25" s="71">
        <f>280+19985.8</f>
        <v>20265.8</v>
      </c>
      <c r="F25" s="11">
        <f>19548.03+400</f>
        <v>19948.03</v>
      </c>
      <c r="G25" s="11">
        <f>440+21481.17</f>
        <v>21921.17</v>
      </c>
      <c r="H25" s="11">
        <f>21477.19+260</f>
        <v>21737.19</v>
      </c>
      <c r="I25" s="11">
        <f>23009.94+440</f>
        <v>23449.94</v>
      </c>
      <c r="J25" s="11">
        <f>20047.04+300</f>
        <v>20347.04</v>
      </c>
      <c r="K25" s="11">
        <f>22368.29+420</f>
        <v>22788.29</v>
      </c>
      <c r="L25" s="11">
        <v>20458.759999999998</v>
      </c>
      <c r="M25" s="11">
        <f>22859.1+460</f>
        <v>23319.1</v>
      </c>
      <c r="N25" s="12">
        <f>25045.64+380</f>
        <v>25425.64</v>
      </c>
      <c r="O25" s="139">
        <f>SUM(Tabla3[[#This Row],[Gener]:[Desembre]])</f>
        <v>256060.57</v>
      </c>
    </row>
    <row r="26" spans="1:15" x14ac:dyDescent="0.25">
      <c r="A26" s="13">
        <v>23</v>
      </c>
      <c r="B26" s="102" t="s">
        <v>43</v>
      </c>
      <c r="C26" s="56">
        <f>10446.93</f>
        <v>10446.93</v>
      </c>
      <c r="D26" s="52">
        <f>9092.93</f>
        <v>9092.93</v>
      </c>
      <c r="E26" s="71">
        <v>8987.9500000000007</v>
      </c>
      <c r="F26" s="11">
        <v>12667.27</v>
      </c>
      <c r="G26" s="11">
        <v>10400.81</v>
      </c>
      <c r="H26" s="11">
        <v>8319.24</v>
      </c>
      <c r="I26" s="11">
        <v>11756.17</v>
      </c>
      <c r="J26" s="11">
        <v>8771.24</v>
      </c>
      <c r="K26" s="11">
        <v>13056.73</v>
      </c>
      <c r="L26" s="11">
        <v>11226.78</v>
      </c>
      <c r="M26" s="11">
        <v>11259.75</v>
      </c>
      <c r="N26" s="12">
        <v>12590.19</v>
      </c>
      <c r="O26" s="139">
        <f>SUM(Tabla3[[#This Row],[Gener]:[Desembre]])</f>
        <v>128575.99</v>
      </c>
    </row>
    <row r="27" spans="1:15" x14ac:dyDescent="0.25">
      <c r="A27" s="13">
        <v>24</v>
      </c>
      <c r="B27" s="102" t="s">
        <v>44</v>
      </c>
      <c r="C27" s="56">
        <f>463.49+13380</f>
        <v>13843.49</v>
      </c>
      <c r="D27" s="52">
        <f>358.11+11520</f>
        <v>11878.11</v>
      </c>
      <c r="E27" s="71">
        <f>541.13+13740</f>
        <v>14281.13</v>
      </c>
      <c r="F27" s="11">
        <f>452.03+13200</f>
        <v>13652.03</v>
      </c>
      <c r="G27" s="11">
        <f>13080+530.78</f>
        <v>13610.78</v>
      </c>
      <c r="H27" s="11">
        <f>406.52+14600</f>
        <v>15006.52</v>
      </c>
      <c r="I27" s="11">
        <f>986.25+16260</f>
        <v>17246.25</v>
      </c>
      <c r="J27" s="11">
        <f>585.76+14940</f>
        <v>15525.76</v>
      </c>
      <c r="K27" s="11">
        <f>710.23+12960</f>
        <v>13670.23</v>
      </c>
      <c r="L27" s="11">
        <v>13931.28</v>
      </c>
      <c r="M27" s="11">
        <f>698.27+14380</f>
        <v>15078.27</v>
      </c>
      <c r="N27" s="12">
        <f>730.14+13940</f>
        <v>14670.14</v>
      </c>
      <c r="O27" s="139">
        <f>SUM(Tabla3[[#This Row],[Gener]:[Desembre]])</f>
        <v>172393.99</v>
      </c>
    </row>
    <row r="28" spans="1:15" x14ac:dyDescent="0.25">
      <c r="A28" s="13">
        <v>25</v>
      </c>
      <c r="B28" s="102" t="s">
        <v>20</v>
      </c>
      <c r="C28" s="56">
        <f>27859.71+580</f>
        <v>28439.71</v>
      </c>
      <c r="D28" s="52">
        <f>21536.51+480</f>
        <v>22016.51</v>
      </c>
      <c r="E28" s="71">
        <f>620+22789.77</f>
        <v>23409.77</v>
      </c>
      <c r="F28" s="11">
        <f>24707.78+400</f>
        <v>25107.78</v>
      </c>
      <c r="G28" s="11">
        <f>540+27535.17</f>
        <v>28075.17</v>
      </c>
      <c r="H28" s="11">
        <f>25697.95+320</f>
        <v>26017.95</v>
      </c>
      <c r="I28" s="11">
        <f>29966.3+520</f>
        <v>30486.3</v>
      </c>
      <c r="J28" s="11">
        <f>30161.08+520</f>
        <v>30681.08</v>
      </c>
      <c r="K28" s="11">
        <f>26128.8+320</f>
        <v>26448.799999999999</v>
      </c>
      <c r="L28" s="11">
        <v>32467.63</v>
      </c>
      <c r="M28" s="11">
        <f>24617.99+340</f>
        <v>24957.99</v>
      </c>
      <c r="N28" s="12">
        <v>29344.02</v>
      </c>
      <c r="O28" s="139">
        <f>SUM(Tabla3[[#This Row],[Gener]:[Desembre]])</f>
        <v>327452.71000000002</v>
      </c>
    </row>
    <row r="29" spans="1:15" x14ac:dyDescent="0.25">
      <c r="A29" s="13">
        <v>26</v>
      </c>
      <c r="B29" s="102" t="s">
        <v>45</v>
      </c>
      <c r="C29" s="56">
        <f>6420</f>
        <v>6420</v>
      </c>
      <c r="D29" s="52">
        <f>6240</f>
        <v>6240</v>
      </c>
      <c r="E29" s="71">
        <v>7480</v>
      </c>
      <c r="F29" s="11">
        <v>7660</v>
      </c>
      <c r="G29" s="11">
        <f>7800</f>
        <v>7800</v>
      </c>
      <c r="H29" s="11">
        <v>7480</v>
      </c>
      <c r="I29" s="11">
        <v>8260</v>
      </c>
      <c r="J29" s="11">
        <v>8160</v>
      </c>
      <c r="K29" s="11">
        <v>7920</v>
      </c>
      <c r="L29" s="11">
        <v>7020</v>
      </c>
      <c r="M29" s="11">
        <v>7740</v>
      </c>
      <c r="N29" s="12">
        <v>7180</v>
      </c>
      <c r="O29" s="139">
        <f>SUM(Tabla3[[#This Row],[Gener]:[Desembre]])</f>
        <v>89360</v>
      </c>
    </row>
    <row r="30" spans="1:15" x14ac:dyDescent="0.25">
      <c r="A30" s="13">
        <v>27</v>
      </c>
      <c r="B30" s="102" t="s">
        <v>46</v>
      </c>
      <c r="C30" s="56"/>
      <c r="D30" s="52"/>
      <c r="E30" s="71"/>
      <c r="F30" s="11"/>
      <c r="G30" s="11"/>
      <c r="H30" s="11"/>
      <c r="I30" s="11"/>
      <c r="J30" s="11"/>
      <c r="K30" s="11"/>
      <c r="L30" s="11"/>
      <c r="M30" s="11"/>
      <c r="N30" s="12"/>
      <c r="O30" s="139">
        <f>SUM(Tabla3[[#This Row],[Gener]:[Desembre]])</f>
        <v>0</v>
      </c>
    </row>
    <row r="31" spans="1:15" x14ac:dyDescent="0.25">
      <c r="A31" s="13">
        <v>28</v>
      </c>
      <c r="B31" s="102" t="s">
        <v>47</v>
      </c>
      <c r="C31" s="56">
        <f>10230.12</f>
        <v>10230.120000000001</v>
      </c>
      <c r="D31" s="52">
        <f>10667.27</f>
        <v>10667.27</v>
      </c>
      <c r="E31" s="71">
        <v>11106.41</v>
      </c>
      <c r="F31" s="11">
        <v>12230.92</v>
      </c>
      <c r="G31" s="11">
        <v>12439.97</v>
      </c>
      <c r="H31" s="11">
        <v>12460.99</v>
      </c>
      <c r="I31" s="11">
        <v>13909.5</v>
      </c>
      <c r="J31" s="11">
        <v>13669.61</v>
      </c>
      <c r="K31" s="11">
        <v>13737.61</v>
      </c>
      <c r="L31" s="11">
        <v>12362.74</v>
      </c>
      <c r="M31" s="11">
        <v>10895.21</v>
      </c>
      <c r="N31" s="12">
        <v>13764.6</v>
      </c>
      <c r="O31" s="139">
        <f>SUM(Tabla3[[#This Row],[Gener]:[Desembre]])</f>
        <v>147474.95000000001</v>
      </c>
    </row>
    <row r="32" spans="1:15" x14ac:dyDescent="0.25">
      <c r="A32" s="13">
        <v>29</v>
      </c>
      <c r="B32" s="102" t="s">
        <v>48</v>
      </c>
      <c r="C32" s="56">
        <f>140.39</f>
        <v>140.38999999999999</v>
      </c>
      <c r="D32" s="52">
        <f>129.32</f>
        <v>129.32</v>
      </c>
      <c r="E32" s="71">
        <v>139.34</v>
      </c>
      <c r="F32" s="11">
        <v>184.65</v>
      </c>
      <c r="G32" s="11">
        <v>137.6</v>
      </c>
      <c r="H32" s="11">
        <v>164.12</v>
      </c>
      <c r="I32" s="11">
        <v>204.08</v>
      </c>
      <c r="J32" s="11">
        <v>173.82</v>
      </c>
      <c r="K32" s="11">
        <v>143.46</v>
      </c>
      <c r="L32" s="11">
        <v>165.12</v>
      </c>
      <c r="M32" s="11">
        <v>151.83000000000001</v>
      </c>
      <c r="N32" s="12">
        <v>152.08000000000001</v>
      </c>
      <c r="O32" s="139">
        <f>SUM(Tabla3[[#This Row],[Gener]:[Desembre]])</f>
        <v>1885.81</v>
      </c>
    </row>
    <row r="33" spans="1:15" x14ac:dyDescent="0.25">
      <c r="A33" s="13">
        <v>30</v>
      </c>
      <c r="B33" s="102" t="s">
        <v>50</v>
      </c>
      <c r="C33" s="56">
        <f>17920</f>
        <v>17920</v>
      </c>
      <c r="D33" s="52">
        <f>18640</f>
        <v>18640</v>
      </c>
      <c r="E33" s="71">
        <v>20360</v>
      </c>
      <c r="F33" s="11">
        <v>20700</v>
      </c>
      <c r="G33" s="11">
        <f>21640</f>
        <v>21640</v>
      </c>
      <c r="H33" s="11">
        <v>20340</v>
      </c>
      <c r="I33" s="11">
        <v>23460</v>
      </c>
      <c r="J33" s="11">
        <v>22120</v>
      </c>
      <c r="K33" s="11">
        <v>23040</v>
      </c>
      <c r="L33" s="11">
        <v>20280</v>
      </c>
      <c r="M33" s="11">
        <v>21280</v>
      </c>
      <c r="N33" s="12">
        <v>21820</v>
      </c>
      <c r="O33" s="139">
        <f>SUM(Tabla3[[#This Row],[Gener]:[Desembre]])</f>
        <v>251600</v>
      </c>
    </row>
    <row r="34" spans="1:15" x14ac:dyDescent="0.25">
      <c r="A34" s="13">
        <v>31</v>
      </c>
      <c r="B34" s="102" t="s">
        <v>51</v>
      </c>
      <c r="C34" s="56">
        <f>3848.87</f>
        <v>3848.87</v>
      </c>
      <c r="D34" s="52">
        <f>2626.86</f>
        <v>2626.86</v>
      </c>
      <c r="E34" s="71">
        <v>2538.29</v>
      </c>
      <c r="F34" s="11">
        <v>3083.93</v>
      </c>
      <c r="G34" s="11">
        <v>3096.87</v>
      </c>
      <c r="H34" s="11">
        <v>2599.9299999999998</v>
      </c>
      <c r="I34" s="11">
        <v>2945.34</v>
      </c>
      <c r="J34" s="11">
        <v>2978.67</v>
      </c>
      <c r="K34" s="11">
        <v>3196.14</v>
      </c>
      <c r="L34" s="11">
        <v>4157.8599999999997</v>
      </c>
      <c r="M34" s="11">
        <v>2409.41</v>
      </c>
      <c r="N34" s="12">
        <v>3156.66</v>
      </c>
      <c r="O34" s="139">
        <f>SUM(Tabla3[[#This Row],[Gener]:[Desembre]])</f>
        <v>36638.83</v>
      </c>
    </row>
    <row r="35" spans="1:15" x14ac:dyDescent="0.25">
      <c r="A35" s="13">
        <v>32</v>
      </c>
      <c r="B35" s="102" t="s">
        <v>52</v>
      </c>
      <c r="C35" s="56">
        <f>14814.55</f>
        <v>14814.55</v>
      </c>
      <c r="D35" s="52">
        <f>13616.94</f>
        <v>13616.94</v>
      </c>
      <c r="E35" s="71">
        <v>15458.62</v>
      </c>
      <c r="F35" s="11">
        <v>16960.21</v>
      </c>
      <c r="G35" s="11">
        <v>16412.3</v>
      </c>
      <c r="H35" s="11">
        <v>17045.439999999999</v>
      </c>
      <c r="I35" s="11">
        <v>19374.830000000002</v>
      </c>
      <c r="J35" s="11">
        <v>17053.95</v>
      </c>
      <c r="K35" s="11">
        <v>16103.81</v>
      </c>
      <c r="L35" s="11">
        <v>17604.63</v>
      </c>
      <c r="M35" s="11">
        <v>14764.47</v>
      </c>
      <c r="N35" s="12">
        <v>19173.939999999999</v>
      </c>
      <c r="O35" s="139">
        <f>SUM(Tabla3[[#This Row],[Gener]:[Desembre]])</f>
        <v>198383.69</v>
      </c>
    </row>
    <row r="36" spans="1:15" x14ac:dyDescent="0.25">
      <c r="A36" s="13">
        <v>33</v>
      </c>
      <c r="B36" s="102" t="s">
        <v>21</v>
      </c>
      <c r="C36" s="56"/>
      <c r="D36" s="52"/>
      <c r="E36" s="71"/>
      <c r="F36" s="11"/>
      <c r="G36" s="11"/>
      <c r="H36" s="11"/>
      <c r="I36" s="11"/>
      <c r="J36" s="11"/>
      <c r="K36" s="11">
        <v>1120</v>
      </c>
      <c r="L36" s="11">
        <v>260</v>
      </c>
      <c r="M36" s="11"/>
      <c r="N36" s="12"/>
      <c r="O36" s="139">
        <f>SUM(Tabla3[[#This Row],[Gener]:[Desembre]])</f>
        <v>1380</v>
      </c>
    </row>
    <row r="37" spans="1:15" x14ac:dyDescent="0.25">
      <c r="A37" s="13">
        <v>34</v>
      </c>
      <c r="B37" s="102" t="s">
        <v>22</v>
      </c>
      <c r="C37" s="56">
        <f>4607.78</f>
        <v>4607.78</v>
      </c>
      <c r="D37" s="52">
        <f>4082.89</f>
        <v>4082.89</v>
      </c>
      <c r="E37" s="71">
        <v>4576.53</v>
      </c>
      <c r="F37" s="11">
        <v>4553.4799999999996</v>
      </c>
      <c r="G37" s="11">
        <v>3677.51</v>
      </c>
      <c r="H37" s="11">
        <v>4183.5200000000004</v>
      </c>
      <c r="I37" s="11">
        <v>5974.14</v>
      </c>
      <c r="J37" s="11">
        <v>5218.28</v>
      </c>
      <c r="K37" s="11">
        <v>4221.46</v>
      </c>
      <c r="L37" s="11">
        <v>5235.5600000000004</v>
      </c>
      <c r="M37" s="11">
        <v>4051.37</v>
      </c>
      <c r="N37" s="12">
        <v>5812.33</v>
      </c>
      <c r="O37" s="139">
        <f>SUM(Tabla3[[#This Row],[Gener]:[Desembre]])</f>
        <v>56194.850000000006</v>
      </c>
    </row>
    <row r="38" spans="1:15" x14ac:dyDescent="0.25">
      <c r="A38" s="13">
        <v>35</v>
      </c>
      <c r="B38" s="102" t="s">
        <v>23</v>
      </c>
      <c r="C38" s="56">
        <f>5292.21</f>
        <v>5292.21</v>
      </c>
      <c r="D38" s="52">
        <f>4338.22</f>
        <v>4338.22</v>
      </c>
      <c r="E38" s="71">
        <v>4941.5600000000004</v>
      </c>
      <c r="F38" s="11">
        <v>3776.05</v>
      </c>
      <c r="G38" s="11">
        <v>5626.56</v>
      </c>
      <c r="H38" s="11">
        <v>5035.96</v>
      </c>
      <c r="I38" s="11">
        <v>6127.92</v>
      </c>
      <c r="J38" s="11">
        <v>6385.91</v>
      </c>
      <c r="K38" s="11">
        <v>6906.32</v>
      </c>
      <c r="L38" s="11">
        <v>6146.21</v>
      </c>
      <c r="M38" s="11">
        <v>5523.37</v>
      </c>
      <c r="N38" s="12">
        <v>6337.64</v>
      </c>
      <c r="O38" s="139">
        <f>SUM(Tabla3[[#This Row],[Gener]:[Desembre]])</f>
        <v>66437.930000000008</v>
      </c>
    </row>
    <row r="39" spans="1:15" x14ac:dyDescent="0.25">
      <c r="A39" s="13">
        <v>36</v>
      </c>
      <c r="B39" s="102" t="s">
        <v>24</v>
      </c>
      <c r="C39" s="56">
        <f>1366.55</f>
        <v>1366.55</v>
      </c>
      <c r="D39" s="52">
        <f>1099.31</f>
        <v>1099.31</v>
      </c>
      <c r="E39" s="71">
        <v>1451.04</v>
      </c>
      <c r="F39" s="11">
        <v>1618.48</v>
      </c>
      <c r="G39" s="11">
        <v>1437.99</v>
      </c>
      <c r="H39" s="11">
        <v>1793.23</v>
      </c>
      <c r="I39" s="11">
        <v>1983.76</v>
      </c>
      <c r="J39" s="11">
        <v>1413.16</v>
      </c>
      <c r="K39" s="11">
        <v>1288.98</v>
      </c>
      <c r="L39" s="11">
        <v>1664.26</v>
      </c>
      <c r="M39" s="11">
        <v>1288.6300000000001</v>
      </c>
      <c r="N39" s="12">
        <v>1683.85</v>
      </c>
      <c r="O39" s="139">
        <f>SUM(Tabla3[[#This Row],[Gener]:[Desembre]])</f>
        <v>18089.239999999998</v>
      </c>
    </row>
    <row r="40" spans="1:15" x14ac:dyDescent="0.25">
      <c r="A40" s="13">
        <v>37</v>
      </c>
      <c r="B40" s="102" t="s">
        <v>25</v>
      </c>
      <c r="C40" s="56">
        <f>9008.02</f>
        <v>9008.02</v>
      </c>
      <c r="D40" s="52">
        <v>8219.25</v>
      </c>
      <c r="E40" s="71">
        <v>8839.9</v>
      </c>
      <c r="F40" s="11">
        <v>9365.07</v>
      </c>
      <c r="G40" s="11">
        <v>8609.34</v>
      </c>
      <c r="H40" s="11">
        <v>11497.74</v>
      </c>
      <c r="I40" s="11">
        <v>9946.56</v>
      </c>
      <c r="J40" s="11">
        <v>8773.73</v>
      </c>
      <c r="K40" s="11">
        <v>11302.2</v>
      </c>
      <c r="L40" s="11">
        <v>9040.7000000000007</v>
      </c>
      <c r="M40" s="11">
        <v>8556.9699999999993</v>
      </c>
      <c r="N40" s="12">
        <v>11882.36</v>
      </c>
      <c r="O40" s="139">
        <f>SUM(Tabla3[[#This Row],[Gener]:[Desembre]])</f>
        <v>115041.84</v>
      </c>
    </row>
    <row r="41" spans="1:15" x14ac:dyDescent="0.25">
      <c r="A41" s="13">
        <v>38</v>
      </c>
      <c r="B41" s="102" t="s">
        <v>5</v>
      </c>
      <c r="C41" s="56">
        <f>1916.73</f>
        <v>1916.73</v>
      </c>
      <c r="D41" s="52">
        <f>1386.16</f>
        <v>1386.16</v>
      </c>
      <c r="E41" s="71">
        <v>1796.37</v>
      </c>
      <c r="F41" s="11">
        <v>1589.73</v>
      </c>
      <c r="G41" s="11">
        <v>1908.42</v>
      </c>
      <c r="H41" s="11">
        <v>2205.71</v>
      </c>
      <c r="I41" s="11">
        <v>2086.85</v>
      </c>
      <c r="J41" s="11">
        <v>1924.3</v>
      </c>
      <c r="K41" s="11">
        <v>2418.67</v>
      </c>
      <c r="L41" s="11">
        <v>2250.94</v>
      </c>
      <c r="M41" s="11">
        <v>1876.5</v>
      </c>
      <c r="N41" s="12">
        <v>2034.01</v>
      </c>
      <c r="O41" s="139">
        <f>SUM(Tabla3[[#This Row],[Gener]:[Desembre]])</f>
        <v>23394.389999999996</v>
      </c>
    </row>
    <row r="42" spans="1:15" x14ac:dyDescent="0.25">
      <c r="A42" s="13">
        <v>39</v>
      </c>
      <c r="B42" s="102" t="s">
        <v>6</v>
      </c>
      <c r="C42" s="56">
        <f>906.67+6260</f>
        <v>7166.67</v>
      </c>
      <c r="D42" s="52">
        <f>681.16+5780</f>
        <v>6461.16</v>
      </c>
      <c r="E42" s="71">
        <f>774.81+6940</f>
        <v>7714.8099999999995</v>
      </c>
      <c r="F42" s="11">
        <f>793.98+6960</f>
        <v>7753.98</v>
      </c>
      <c r="G42" s="11">
        <f>7400+800.9</f>
        <v>8200.9</v>
      </c>
      <c r="H42" s="11">
        <f>781.43+6160</f>
        <v>6941.43</v>
      </c>
      <c r="I42" s="11">
        <f>1662.16+7500</f>
        <v>9162.16</v>
      </c>
      <c r="J42" s="11">
        <f>1125.25+7840</f>
        <v>8965.25</v>
      </c>
      <c r="K42" s="11">
        <f>715.38+6800</f>
        <v>7515.38</v>
      </c>
      <c r="L42" s="11">
        <v>7620.97</v>
      </c>
      <c r="M42" s="11">
        <f>534.51+7260</f>
        <v>7794.51</v>
      </c>
      <c r="N42" s="12">
        <f>652.44+6720</f>
        <v>7372.4400000000005</v>
      </c>
      <c r="O42" s="139">
        <f>SUM(Tabla3[[#This Row],[Gener]:[Desembre]])</f>
        <v>92669.66</v>
      </c>
    </row>
    <row r="43" spans="1:15" x14ac:dyDescent="0.25">
      <c r="A43" s="13">
        <v>40</v>
      </c>
      <c r="B43" s="102" t="s">
        <v>8</v>
      </c>
      <c r="C43" s="56">
        <f>173.91</f>
        <v>173.91</v>
      </c>
      <c r="D43" s="52">
        <f>245.62</f>
        <v>245.62</v>
      </c>
      <c r="E43" s="71">
        <v>223.4</v>
      </c>
      <c r="F43" s="11">
        <v>220.72</v>
      </c>
      <c r="G43" s="11">
        <v>251.87</v>
      </c>
      <c r="H43" s="11">
        <v>316.52</v>
      </c>
      <c r="I43" s="11">
        <v>419.93</v>
      </c>
      <c r="J43" s="11">
        <v>344.24</v>
      </c>
      <c r="K43" s="11">
        <v>304.12</v>
      </c>
      <c r="L43" s="11">
        <v>434.42</v>
      </c>
      <c r="M43" s="11">
        <v>319.79000000000002</v>
      </c>
      <c r="N43" s="12">
        <v>218.6</v>
      </c>
      <c r="O43" s="139">
        <f>SUM(Tabla3[[#This Row],[Gener]:[Desembre]])</f>
        <v>3473.14</v>
      </c>
    </row>
    <row r="44" spans="1:15" s="4" customFormat="1" ht="15.75" thickBot="1" x14ac:dyDescent="0.3">
      <c r="A44" s="92">
        <v>41</v>
      </c>
      <c r="B44" s="104" t="s">
        <v>49</v>
      </c>
      <c r="C44" s="57"/>
      <c r="D44" s="54"/>
      <c r="E44" s="72"/>
      <c r="F44" s="14"/>
      <c r="G44" s="14"/>
      <c r="H44" s="14"/>
      <c r="I44" s="14"/>
      <c r="J44" s="14"/>
      <c r="K44" s="14"/>
      <c r="L44" s="14"/>
      <c r="M44" s="14"/>
      <c r="N44" s="15"/>
      <c r="O44" s="140">
        <f>SUM(Tabla3[[#This Row],[Gener]:[Desembre]])</f>
        <v>0</v>
      </c>
    </row>
    <row r="45" spans="1:15" ht="15.75" thickBot="1" x14ac:dyDescent="0.3">
      <c r="A45" s="99"/>
      <c r="B45" s="49" t="s">
        <v>38</v>
      </c>
      <c r="C45" s="5">
        <f t="shared" ref="C45:L45" si="0">SUBTOTAL(109,C4:C44)</f>
        <v>500959.74000000005</v>
      </c>
      <c r="D45" s="6">
        <f t="shared" si="0"/>
        <v>452922.39999999997</v>
      </c>
      <c r="E45" s="6">
        <f t="shared" si="0"/>
        <v>504646.89</v>
      </c>
      <c r="F45" s="6">
        <f t="shared" si="0"/>
        <v>517907.69</v>
      </c>
      <c r="G45" s="6">
        <f t="shared" si="0"/>
        <v>546834.56999999995</v>
      </c>
      <c r="H45" s="6">
        <f t="shared" si="0"/>
        <v>518689.01999999996</v>
      </c>
      <c r="I45" s="6">
        <f t="shared" si="0"/>
        <v>595213.56000000006</v>
      </c>
      <c r="J45" s="6">
        <f t="shared" si="0"/>
        <v>527980.15999999992</v>
      </c>
      <c r="K45" s="6">
        <f t="shared" si="0"/>
        <v>554666.4099999998</v>
      </c>
      <c r="L45" s="6">
        <f t="shared" si="0"/>
        <v>558195.24999999988</v>
      </c>
      <c r="M45" s="6">
        <f>SUBTOTAL(109,M4:M44)</f>
        <v>534122.38800000004</v>
      </c>
      <c r="N45" s="6">
        <f>SUBTOTAL(109,N4:N44)</f>
        <v>585273.22</v>
      </c>
      <c r="O45" s="27">
        <f>SUBTOTAL(109,O4:O44)</f>
        <v>6397411.2979999995</v>
      </c>
    </row>
    <row r="46" spans="1:15" ht="15.75" thickBot="1" x14ac:dyDescent="0.3">
      <c r="A46" s="14"/>
      <c r="B46" s="127" t="s">
        <v>79</v>
      </c>
      <c r="C46" s="266">
        <v>2940</v>
      </c>
      <c r="D46" s="267">
        <v>2158</v>
      </c>
      <c r="E46" s="267">
        <v>2393.13</v>
      </c>
      <c r="F46" s="267">
        <f>2366.78+45.53</f>
        <v>2412.3100000000004</v>
      </c>
      <c r="G46" s="267">
        <v>2905.41</v>
      </c>
      <c r="H46" s="267">
        <v>2930.61</v>
      </c>
      <c r="I46" s="267">
        <v>3726.42</v>
      </c>
      <c r="J46" s="267">
        <v>2659.83</v>
      </c>
      <c r="K46" s="267">
        <v>2693.58</v>
      </c>
      <c r="L46" s="267">
        <v>3512.01</v>
      </c>
      <c r="M46" s="267">
        <v>2437.4699999999998</v>
      </c>
      <c r="N46" s="267">
        <v>1986.79</v>
      </c>
      <c r="O46" s="268">
        <f>SUM(Tabla3[[#This Row],[Gener]:[Desembre]])</f>
        <v>32755.560000000005</v>
      </c>
    </row>
    <row r="47" spans="1:15" ht="15.75" thickBot="1" x14ac:dyDescent="0.3">
      <c r="A47" s="260"/>
      <c r="B47" s="261" t="s">
        <v>71</v>
      </c>
      <c r="C47" s="262">
        <f>C45+C46</f>
        <v>503899.74000000005</v>
      </c>
      <c r="D47" s="263">
        <f>D46+D45</f>
        <v>455080.39999999997</v>
      </c>
      <c r="E47" s="263">
        <f>E46+E45</f>
        <v>507040.02</v>
      </c>
      <c r="F47" s="263">
        <f t="shared" ref="F47:N47" si="1">F46+F45</f>
        <v>520320</v>
      </c>
      <c r="G47" s="263">
        <f t="shared" si="1"/>
        <v>549739.98</v>
      </c>
      <c r="H47" s="263">
        <f t="shared" si="1"/>
        <v>521619.62999999995</v>
      </c>
      <c r="I47" s="263">
        <f t="shared" si="1"/>
        <v>598939.9800000001</v>
      </c>
      <c r="J47" s="263">
        <f t="shared" si="1"/>
        <v>530639.98999999987</v>
      </c>
      <c r="K47" s="263">
        <f t="shared" si="1"/>
        <v>557359.98999999976</v>
      </c>
      <c r="L47" s="263">
        <f t="shared" si="1"/>
        <v>561707.25999999989</v>
      </c>
      <c r="M47" s="263">
        <f t="shared" si="1"/>
        <v>536559.85800000001</v>
      </c>
      <c r="N47" s="264">
        <f t="shared" si="1"/>
        <v>587260.01</v>
      </c>
      <c r="O47" s="265">
        <f>SUM(Tabla3[[#This Row],[Gener]:[Desembre]])</f>
        <v>6430166.8579999991</v>
      </c>
    </row>
    <row r="48" spans="1:15" ht="15.75" thickBot="1" x14ac:dyDescent="0.3">
      <c r="A48" s="99"/>
      <c r="B48" s="28" t="s">
        <v>58</v>
      </c>
      <c r="C48" s="29">
        <v>492829.60000000009</v>
      </c>
      <c r="D48" s="30">
        <v>421959.93</v>
      </c>
      <c r="E48" s="30">
        <v>494580.00999999995</v>
      </c>
      <c r="F48" s="30">
        <v>478619.99000000005</v>
      </c>
      <c r="G48" s="30">
        <v>506699.99999999994</v>
      </c>
      <c r="H48" s="30">
        <v>492539.98999999993</v>
      </c>
      <c r="I48" s="30">
        <v>520740.02999999985</v>
      </c>
      <c r="J48" s="30">
        <v>494920</v>
      </c>
      <c r="K48" s="30">
        <v>473600.31000000017</v>
      </c>
      <c r="L48" s="30">
        <v>531240.03000000014</v>
      </c>
      <c r="M48" s="30">
        <v>517179.98776397511</v>
      </c>
      <c r="N48" s="31">
        <v>503200</v>
      </c>
      <c r="O48" s="32">
        <f>SUM(Tabla3[[#This Row],[Gener]:[Desembre]])</f>
        <v>5928109.8777639745</v>
      </c>
    </row>
    <row r="49" spans="1:15" x14ac:dyDescent="0.25">
      <c r="A49" s="99"/>
      <c r="B49" s="83" t="s">
        <v>59</v>
      </c>
      <c r="C49" s="258">
        <f>(C47/C48)-1</f>
        <v>2.2462408913750176E-2</v>
      </c>
      <c r="D49" s="259">
        <f>(D47/D48)-1</f>
        <v>7.849197908436456E-2</v>
      </c>
      <c r="E49" s="259">
        <f t="shared" ref="E49:O49" si="2">(E47/E48)-1</f>
        <v>2.5193112839316134E-2</v>
      </c>
      <c r="F49" s="259">
        <f t="shared" si="2"/>
        <v>8.7125508485343284E-2</v>
      </c>
      <c r="G49" s="259">
        <f t="shared" si="2"/>
        <v>8.4941740674955746E-2</v>
      </c>
      <c r="H49" s="259">
        <f t="shared" si="2"/>
        <v>5.9040160373577066E-2</v>
      </c>
      <c r="I49" s="259">
        <f t="shared" si="2"/>
        <v>0.15017080595858978</v>
      </c>
      <c r="J49" s="259">
        <f t="shared" si="2"/>
        <v>7.217326032490079E-2</v>
      </c>
      <c r="K49" s="259">
        <f t="shared" si="2"/>
        <v>0.17685731666856297</v>
      </c>
      <c r="L49" s="259">
        <f t="shared" si="2"/>
        <v>5.7351156312523521E-2</v>
      </c>
      <c r="M49" s="259">
        <f t="shared" si="2"/>
        <v>3.7472196710111927E-2</v>
      </c>
      <c r="N49" s="259">
        <f t="shared" si="2"/>
        <v>0.16705089427662956</v>
      </c>
      <c r="O49" s="259">
        <f t="shared" si="2"/>
        <v>8.469090327073947E-2</v>
      </c>
    </row>
    <row r="52" spans="1:15" x14ac:dyDescent="0.25"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1:15" x14ac:dyDescent="0.25"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</sheetData>
  <pageMargins left="0.47" right="0.19685039370078741" top="0.51181102362204722" bottom="0.39370078740157483" header="0.19685039370078741" footer="0.15748031496062992"/>
  <pageSetup paperSize="9" scale="70" orientation="landscape" r:id="rId1"/>
  <headerFooter>
    <oddHeader>&amp;L&amp;"Calibri,Normal"&amp;G&amp;C&amp;"Calibri,Normal"&amp;F&amp;R&amp;"Calibri,Normal"&amp;G</oddHeader>
    <oddFooter>&amp;L&amp;"Calibri,Normal"&amp;D&amp;C&amp;"Calibri,Normal"&amp;A&amp;R&amp;"Calibri,Normal"&amp;P de &amp;N</oddFooter>
  </headerFooter>
  <drawing r:id="rId2"/>
  <legacyDrawingHF r:id="rId3"/>
  <tableParts count="1">
    <tablePart r:id="rId4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O50"/>
  <sheetViews>
    <sheetView showZeros="0" zoomScale="90" zoomScaleNormal="90" workbookViewId="0">
      <selection activeCell="P53" sqref="P53"/>
    </sheetView>
  </sheetViews>
  <sheetFormatPr baseColWidth="10" defaultColWidth="11.42578125" defaultRowHeight="15" x14ac:dyDescent="0.25"/>
  <cols>
    <col min="1" max="1" width="5.42578125" style="3" customWidth="1"/>
    <col min="2" max="2" width="26.140625" style="3" bestFit="1" customWidth="1"/>
    <col min="3" max="10" width="11.42578125" style="2"/>
    <col min="11" max="11" width="11.85546875" style="2" customWidth="1"/>
    <col min="12" max="12" width="11.42578125" style="2"/>
    <col min="13" max="13" width="12.5703125" style="2" customWidth="1"/>
    <col min="14" max="14" width="12.28515625" style="2" customWidth="1"/>
    <col min="15" max="15" width="11.42578125" style="2"/>
    <col min="16" max="16384" width="11.42578125" style="3"/>
  </cols>
  <sheetData>
    <row r="2" spans="1:15" ht="15.75" x14ac:dyDescent="0.25">
      <c r="B2" s="1" t="s">
        <v>73</v>
      </c>
    </row>
    <row r="3" spans="1:15" ht="15.75" thickBot="1" x14ac:dyDescent="0.3">
      <c r="C3" s="4" t="s">
        <v>54</v>
      </c>
    </row>
    <row r="4" spans="1:15" ht="15.75" thickBot="1" x14ac:dyDescent="0.3">
      <c r="A4" s="108" t="s">
        <v>61</v>
      </c>
      <c r="B4" s="22" t="s">
        <v>57</v>
      </c>
      <c r="C4" s="5" t="s">
        <v>26</v>
      </c>
      <c r="D4" s="6" t="s">
        <v>27</v>
      </c>
      <c r="E4" s="6" t="s">
        <v>28</v>
      </c>
      <c r="F4" s="6" t="s">
        <v>29</v>
      </c>
      <c r="G4" s="6" t="s">
        <v>30</v>
      </c>
      <c r="H4" s="6" t="s">
        <v>31</v>
      </c>
      <c r="I4" s="6" t="s">
        <v>32</v>
      </c>
      <c r="J4" s="6" t="s">
        <v>33</v>
      </c>
      <c r="K4" s="6" t="s">
        <v>34</v>
      </c>
      <c r="L4" s="6" t="s">
        <v>35</v>
      </c>
      <c r="M4" s="6" t="s">
        <v>36</v>
      </c>
      <c r="N4" s="7" t="s">
        <v>37</v>
      </c>
      <c r="O4" s="27" t="s">
        <v>38</v>
      </c>
    </row>
    <row r="5" spans="1:15" x14ac:dyDescent="0.25">
      <c r="A5" s="109">
        <v>1</v>
      </c>
      <c r="B5" s="106" t="s">
        <v>39</v>
      </c>
      <c r="C5" s="55">
        <f>20622.57</f>
        <v>20622.57</v>
      </c>
      <c r="D5" s="50">
        <f>12757.46</f>
        <v>12757.46</v>
      </c>
      <c r="E5" s="50">
        <v>14816.05</v>
      </c>
      <c r="F5" s="50">
        <v>10300.59</v>
      </c>
      <c r="G5" s="50">
        <v>20533.580000000002</v>
      </c>
      <c r="H5" s="50">
        <v>8300.67</v>
      </c>
      <c r="I5" s="50">
        <v>17097.830000000002</v>
      </c>
      <c r="J5" s="50">
        <v>17935.5</v>
      </c>
      <c r="K5" s="50">
        <v>15910</v>
      </c>
      <c r="L5" s="50">
        <v>16498.009999999998</v>
      </c>
      <c r="M5" s="50">
        <v>18060</v>
      </c>
      <c r="N5" s="51">
        <v>5275.4</v>
      </c>
      <c r="O5" s="138">
        <f>SUM(Tabla5[[#This Row],[Gener]:[Desembre]])</f>
        <v>178107.66</v>
      </c>
    </row>
    <row r="6" spans="1:15" x14ac:dyDescent="0.25">
      <c r="A6" s="110">
        <v>2</v>
      </c>
      <c r="B6" s="107" t="s">
        <v>0</v>
      </c>
      <c r="C6" s="56">
        <f>20009.57</f>
        <v>20009.57</v>
      </c>
      <c r="D6" s="52">
        <f>13106.14</f>
        <v>13106.14</v>
      </c>
      <c r="E6" s="52">
        <v>6016</v>
      </c>
      <c r="F6" s="52">
        <v>11582.08</v>
      </c>
      <c r="G6" s="52">
        <v>15857.27</v>
      </c>
      <c r="H6" s="52">
        <v>11581.85</v>
      </c>
      <c r="I6" s="52">
        <v>24094</v>
      </c>
      <c r="J6" s="52">
        <v>922.22</v>
      </c>
      <c r="K6" s="52">
        <v>23080.5</v>
      </c>
      <c r="L6" s="52">
        <v>13671.39</v>
      </c>
      <c r="M6" s="52">
        <v>15586.46</v>
      </c>
      <c r="N6" s="53">
        <v>11651.1</v>
      </c>
      <c r="O6" s="139">
        <f>SUM(Tabla5[[#This Row],[Gener]:[Desembre]])</f>
        <v>167158.58000000002</v>
      </c>
    </row>
    <row r="7" spans="1:15" x14ac:dyDescent="0.25">
      <c r="A7" s="110">
        <v>3</v>
      </c>
      <c r="B7" s="107" t="s">
        <v>1</v>
      </c>
      <c r="C7" s="56">
        <f>28940.25</f>
        <v>28940.25</v>
      </c>
      <c r="D7" s="52">
        <f>19338.8</f>
        <v>19338.8</v>
      </c>
      <c r="E7" s="52">
        <v>26586.95</v>
      </c>
      <c r="F7" s="52">
        <v>33582.06</v>
      </c>
      <c r="G7" s="52">
        <v>33195.160000000003</v>
      </c>
      <c r="H7" s="52">
        <v>25014.28</v>
      </c>
      <c r="I7" s="52">
        <v>39275.47</v>
      </c>
      <c r="J7" s="52">
        <v>34286.519999999997</v>
      </c>
      <c r="K7" s="52">
        <v>20532</v>
      </c>
      <c r="L7" s="52">
        <v>33090.129999999997</v>
      </c>
      <c r="M7" s="52">
        <v>30419.5</v>
      </c>
      <c r="N7" s="53">
        <v>32094.31</v>
      </c>
      <c r="O7" s="139">
        <f>SUM(Tabla5[[#This Row],[Gener]:[Desembre]])</f>
        <v>356355.43</v>
      </c>
    </row>
    <row r="8" spans="1:15" x14ac:dyDescent="0.25">
      <c r="A8" s="110">
        <v>4</v>
      </c>
      <c r="B8" s="107" t="s">
        <v>2</v>
      </c>
      <c r="C8" s="56">
        <f>2441.29</f>
        <v>2441.29</v>
      </c>
      <c r="D8" s="52">
        <f>1468.8</f>
        <v>1468.8</v>
      </c>
      <c r="E8" s="52">
        <v>1390</v>
      </c>
      <c r="F8" s="52">
        <v>1646.32</v>
      </c>
      <c r="G8" s="52">
        <v>1916.47</v>
      </c>
      <c r="H8" s="52">
        <v>1601.38</v>
      </c>
      <c r="I8" s="52">
        <v>2298.9499999999998</v>
      </c>
      <c r="J8" s="52">
        <v>2325</v>
      </c>
      <c r="K8" s="52">
        <v>1669.09</v>
      </c>
      <c r="L8" s="52">
        <v>1943.08</v>
      </c>
      <c r="M8" s="52"/>
      <c r="N8" s="53">
        <v>3927.9</v>
      </c>
      <c r="O8" s="139">
        <f>SUM(Tabla5[[#This Row],[Gener]:[Desembre]])</f>
        <v>22628.28</v>
      </c>
    </row>
    <row r="9" spans="1:15" x14ac:dyDescent="0.25">
      <c r="A9" s="110">
        <v>5</v>
      </c>
      <c r="B9" s="107" t="s">
        <v>3</v>
      </c>
      <c r="C9" s="56">
        <f>18912.71</f>
        <v>18912.71</v>
      </c>
      <c r="D9" s="52">
        <f>12585.92</f>
        <v>12585.92</v>
      </c>
      <c r="E9" s="52">
        <v>11170.24</v>
      </c>
      <c r="F9" s="52">
        <v>8568.6</v>
      </c>
      <c r="G9" s="52">
        <v>13328.43</v>
      </c>
      <c r="H9" s="52">
        <v>15520.61</v>
      </c>
      <c r="I9" s="52">
        <v>18991.259999999998</v>
      </c>
      <c r="J9" s="52">
        <v>11386.44</v>
      </c>
      <c r="K9" s="52">
        <v>2880</v>
      </c>
      <c r="L9" s="52">
        <v>17953.68</v>
      </c>
      <c r="M9" s="52"/>
      <c r="N9" s="53">
        <v>18884.650000000001</v>
      </c>
      <c r="O9" s="139">
        <f>SUM(Tabla5[[#This Row],[Gener]:[Desembre]])</f>
        <v>150182.53999999998</v>
      </c>
    </row>
    <row r="10" spans="1:15" x14ac:dyDescent="0.25">
      <c r="A10" s="110">
        <v>6</v>
      </c>
      <c r="B10" s="107" t="s">
        <v>4</v>
      </c>
      <c r="C10" s="56">
        <f>31782.74</f>
        <v>31782.74</v>
      </c>
      <c r="D10" s="52">
        <f>24832.2</f>
        <v>24832.2</v>
      </c>
      <c r="E10" s="52">
        <v>24747.33</v>
      </c>
      <c r="F10" s="52">
        <v>35805.68</v>
      </c>
      <c r="G10" s="52">
        <v>23688.7</v>
      </c>
      <c r="H10" s="52">
        <v>18201.13</v>
      </c>
      <c r="I10" s="52">
        <v>21763.64</v>
      </c>
      <c r="J10" s="52">
        <v>27563.94</v>
      </c>
      <c r="K10" s="52">
        <v>29933.14</v>
      </c>
      <c r="L10" s="52">
        <v>45753.120000000003</v>
      </c>
      <c r="M10" s="52">
        <v>26661.25</v>
      </c>
      <c r="N10" s="53">
        <v>27653.26</v>
      </c>
      <c r="O10" s="139">
        <f>SUM(Tabla5[[#This Row],[Gener]:[Desembre]])</f>
        <v>338386.13000000006</v>
      </c>
    </row>
    <row r="11" spans="1:15" x14ac:dyDescent="0.25">
      <c r="A11" s="110">
        <v>7</v>
      </c>
      <c r="B11" s="107" t="s">
        <v>60</v>
      </c>
      <c r="C11" s="56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3"/>
      <c r="O11" s="139">
        <f>SUM(Tabla5[[#This Row],[Gener]:[Desembre]])</f>
        <v>0</v>
      </c>
    </row>
    <row r="12" spans="1:15" x14ac:dyDescent="0.25">
      <c r="A12" s="110">
        <v>8</v>
      </c>
      <c r="B12" s="107" t="s">
        <v>7</v>
      </c>
      <c r="C12" s="56">
        <f>4577.42</f>
        <v>4577.42</v>
      </c>
      <c r="D12" s="52">
        <f>2754</f>
        <v>2754</v>
      </c>
      <c r="E12" s="52">
        <v>1390</v>
      </c>
      <c r="F12" s="52">
        <v>3704.21</v>
      </c>
      <c r="G12" s="52">
        <v>3407.06</v>
      </c>
      <c r="H12" s="52">
        <v>3371.03</v>
      </c>
      <c r="I12" s="52">
        <v>2873.68</v>
      </c>
      <c r="J12" s="52">
        <v>6776.52</v>
      </c>
      <c r="K12" s="52">
        <v>3767.54</v>
      </c>
      <c r="L12" s="52">
        <v>3744.46</v>
      </c>
      <c r="M12" s="52"/>
      <c r="N12" s="53">
        <v>7322.43</v>
      </c>
      <c r="O12" s="139">
        <f>SUM(Tabla5[[#This Row],[Gener]:[Desembre]])</f>
        <v>43688.350000000006</v>
      </c>
    </row>
    <row r="13" spans="1:15" x14ac:dyDescent="0.25">
      <c r="A13" s="110">
        <v>9</v>
      </c>
      <c r="B13" s="107" t="s">
        <v>40</v>
      </c>
      <c r="C13" s="56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3"/>
      <c r="O13" s="139">
        <f>SUM(Tabla5[[#This Row],[Gener]:[Desembre]])</f>
        <v>0</v>
      </c>
    </row>
    <row r="14" spans="1:15" x14ac:dyDescent="0.25">
      <c r="A14" s="110">
        <v>10</v>
      </c>
      <c r="B14" s="107" t="s">
        <v>41</v>
      </c>
      <c r="C14" s="56">
        <v>29273.4</v>
      </c>
      <c r="D14" s="52">
        <f>29738.41+445</f>
        <v>30183.41</v>
      </c>
      <c r="E14" s="52">
        <f>14188.82+161.33</f>
        <v>14350.15</v>
      </c>
      <c r="F14" s="52">
        <f>19009.33+68</f>
        <v>19077.330000000002</v>
      </c>
      <c r="G14" s="52">
        <v>32567.7</v>
      </c>
      <c r="H14" s="52">
        <v>24833.73</v>
      </c>
      <c r="I14" s="52">
        <f>22490+338.18</f>
        <v>22828.18</v>
      </c>
      <c r="J14" s="52">
        <v>27360.07</v>
      </c>
      <c r="K14" s="52">
        <v>29501.52</v>
      </c>
      <c r="L14" s="52">
        <v>26583.35</v>
      </c>
      <c r="M14" s="52">
        <v>25363.39</v>
      </c>
      <c r="N14" s="53">
        <v>16734.47</v>
      </c>
      <c r="O14" s="139">
        <f>SUM(Tabla5[[#This Row],[Gener]:[Desembre]])</f>
        <v>298656.69999999995</v>
      </c>
    </row>
    <row r="15" spans="1:15" x14ac:dyDescent="0.25">
      <c r="A15" s="110">
        <v>11</v>
      </c>
      <c r="B15" s="107" t="s">
        <v>9</v>
      </c>
      <c r="C15" s="56">
        <f>93556.05</f>
        <v>93556.05</v>
      </c>
      <c r="D15" s="52">
        <f>82273.96</f>
        <v>82273.960000000006</v>
      </c>
      <c r="E15" s="52">
        <v>63438.3</v>
      </c>
      <c r="F15" s="52">
        <v>90398.49</v>
      </c>
      <c r="G15" s="52">
        <v>91511.46</v>
      </c>
      <c r="H15" s="52">
        <v>47285.65</v>
      </c>
      <c r="I15" s="52">
        <v>98519.61</v>
      </c>
      <c r="J15" s="52">
        <v>83060.11</v>
      </c>
      <c r="K15" s="52">
        <v>87867.92</v>
      </c>
      <c r="L15" s="52">
        <v>122539.99</v>
      </c>
      <c r="M15" s="52">
        <v>39087.339999999997</v>
      </c>
      <c r="N15" s="53">
        <v>143952.62</v>
      </c>
      <c r="O15" s="139">
        <f>SUM(Tabla5[[#This Row],[Gener]:[Desembre]])</f>
        <v>1043491.5</v>
      </c>
    </row>
    <row r="16" spans="1:15" x14ac:dyDescent="0.25">
      <c r="A16" s="110">
        <v>12</v>
      </c>
      <c r="B16" s="107" t="s">
        <v>10</v>
      </c>
      <c r="C16" s="56">
        <f>5257.14</f>
        <v>5257.14</v>
      </c>
      <c r="D16" s="52">
        <f>2155.56</f>
        <v>2155.56</v>
      </c>
      <c r="E16" s="52">
        <v>3257.67</v>
      </c>
      <c r="F16" s="52">
        <v>5889.6</v>
      </c>
      <c r="G16" s="52">
        <v>4360</v>
      </c>
      <c r="H16" s="52">
        <v>4488</v>
      </c>
      <c r="I16" s="52">
        <v>1820</v>
      </c>
      <c r="J16" s="52">
        <v>3777.78</v>
      </c>
      <c r="K16" s="52">
        <v>4862</v>
      </c>
      <c r="L16" s="52">
        <v>3050</v>
      </c>
      <c r="M16" s="52">
        <v>5597.86</v>
      </c>
      <c r="N16" s="53"/>
      <c r="O16" s="139">
        <f>SUM(Tabla5[[#This Row],[Gener]:[Desembre]])</f>
        <v>44515.61</v>
      </c>
    </row>
    <row r="17" spans="1:15" x14ac:dyDescent="0.25">
      <c r="A17" s="110">
        <v>13</v>
      </c>
      <c r="B17" s="107" t="s">
        <v>42</v>
      </c>
      <c r="C17" s="56">
        <f>11734.77</f>
        <v>11734.77</v>
      </c>
      <c r="D17" s="52">
        <f>11632</f>
        <v>11632</v>
      </c>
      <c r="E17" s="52">
        <v>10953.97</v>
      </c>
      <c r="F17" s="52">
        <v>8974.2900000000009</v>
      </c>
      <c r="G17" s="52">
        <v>10096.209999999999</v>
      </c>
      <c r="H17" s="52">
        <v>11340.8</v>
      </c>
      <c r="I17" s="52">
        <v>5940</v>
      </c>
      <c r="J17" s="52">
        <v>10760</v>
      </c>
      <c r="K17" s="52">
        <v>10752.04</v>
      </c>
      <c r="L17" s="52">
        <v>10001.92</v>
      </c>
      <c r="M17" s="52">
        <v>11988.29</v>
      </c>
      <c r="N17" s="53">
        <v>8953.8799999999992</v>
      </c>
      <c r="O17" s="139">
        <f>SUM(Tabla5[[#This Row],[Gener]:[Desembre]])</f>
        <v>123128.16999999998</v>
      </c>
    </row>
    <row r="18" spans="1:15" x14ac:dyDescent="0.25">
      <c r="A18" s="110">
        <v>14</v>
      </c>
      <c r="B18" s="107" t="s">
        <v>11</v>
      </c>
      <c r="C18" s="56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3"/>
      <c r="O18" s="139">
        <f>SUM(Tabla5[[#This Row],[Gener]:[Desembre]])</f>
        <v>0</v>
      </c>
    </row>
    <row r="19" spans="1:15" x14ac:dyDescent="0.25">
      <c r="A19" s="110">
        <v>15</v>
      </c>
      <c r="B19" s="107" t="s">
        <v>12</v>
      </c>
      <c r="C19" s="56">
        <f>12728.48</f>
        <v>12728.48</v>
      </c>
      <c r="D19" s="52">
        <f>12400</f>
        <v>12400</v>
      </c>
      <c r="E19" s="52">
        <v>8360</v>
      </c>
      <c r="F19" s="52">
        <v>16908.560000000001</v>
      </c>
      <c r="G19" s="52">
        <v>9259.7999999999993</v>
      </c>
      <c r="H19" s="52">
        <v>12580</v>
      </c>
      <c r="I19" s="52">
        <v>15530.84</v>
      </c>
      <c r="J19" s="52">
        <v>394.67</v>
      </c>
      <c r="K19" s="52">
        <v>25922.23</v>
      </c>
      <c r="L19" s="52">
        <v>10544</v>
      </c>
      <c r="M19" s="52">
        <v>8973.26</v>
      </c>
      <c r="N19" s="53">
        <v>12489.3</v>
      </c>
      <c r="O19" s="139">
        <f>SUM(Tabla5[[#This Row],[Gener]:[Desembre]])</f>
        <v>146091.13999999998</v>
      </c>
    </row>
    <row r="20" spans="1:15" x14ac:dyDescent="0.25">
      <c r="A20" s="110">
        <v>16</v>
      </c>
      <c r="B20" s="107" t="s">
        <v>13</v>
      </c>
      <c r="C20" s="56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3"/>
      <c r="O20" s="139">
        <f>SUM(Tabla5[[#This Row],[Gener]:[Desembre]])</f>
        <v>0</v>
      </c>
    </row>
    <row r="21" spans="1:15" x14ac:dyDescent="0.25">
      <c r="A21" s="110">
        <v>17</v>
      </c>
      <c r="B21" s="107" t="s">
        <v>14</v>
      </c>
      <c r="C21" s="56">
        <f>16737.47+340</f>
        <v>17077.47</v>
      </c>
      <c r="D21" s="52">
        <f>9649.74+80</f>
        <v>9729.74</v>
      </c>
      <c r="E21" s="52">
        <f>7030.51+400</f>
        <v>7430.51</v>
      </c>
      <c r="F21" s="52">
        <f>8519.17+349.43+300</f>
        <v>9168.6</v>
      </c>
      <c r="G21" s="52">
        <f>7000+620</f>
        <v>7620</v>
      </c>
      <c r="H21" s="52">
        <f>300+13644.86</f>
        <v>13944.86</v>
      </c>
      <c r="I21" s="52">
        <f>15851.44+620</f>
        <v>16471.440000000002</v>
      </c>
      <c r="J21" s="52">
        <f>3360+260</f>
        <v>3620</v>
      </c>
      <c r="K21" s="52">
        <f>11928.53+220</f>
        <v>12148.53</v>
      </c>
      <c r="L21" s="52">
        <v>8157.58</v>
      </c>
      <c r="M21" s="52">
        <f>10837.83+400</f>
        <v>11237.83</v>
      </c>
      <c r="N21" s="53">
        <f>8072.94+560</f>
        <v>8632.9399999999987</v>
      </c>
      <c r="O21" s="139">
        <f>SUM(Tabla5[[#This Row],[Gener]:[Desembre]])</f>
        <v>125239.5</v>
      </c>
    </row>
    <row r="22" spans="1:15" x14ac:dyDescent="0.25">
      <c r="A22" s="110">
        <v>18</v>
      </c>
      <c r="B22" s="107" t="s">
        <v>15</v>
      </c>
      <c r="C22" s="56">
        <f>100636.46</f>
        <v>100636.46</v>
      </c>
      <c r="D22" s="52">
        <f>41754.25</f>
        <v>41754.25</v>
      </c>
      <c r="E22" s="52">
        <f>66261.56+360</f>
        <v>66621.56</v>
      </c>
      <c r="F22" s="52">
        <v>71920.539999999994</v>
      </c>
      <c r="G22" s="52">
        <v>52672.49</v>
      </c>
      <c r="H22" s="52">
        <v>41417.949999999997</v>
      </c>
      <c r="I22" s="52">
        <v>55937.31</v>
      </c>
      <c r="J22" s="52">
        <v>75048.800000000003</v>
      </c>
      <c r="K22" s="52">
        <v>83634.179999999993</v>
      </c>
      <c r="L22" s="52">
        <v>56155.14</v>
      </c>
      <c r="M22" s="52">
        <f>53678.53+440</f>
        <v>54118.53</v>
      </c>
      <c r="N22" s="53">
        <v>65931.25</v>
      </c>
      <c r="O22" s="139">
        <f>SUM(Tabla5[[#This Row],[Gener]:[Desembre]])</f>
        <v>765848.46000000008</v>
      </c>
    </row>
    <row r="23" spans="1:15" x14ac:dyDescent="0.25">
      <c r="A23" s="110">
        <v>19</v>
      </c>
      <c r="B23" s="107" t="s">
        <v>16</v>
      </c>
      <c r="C23" s="56">
        <f>16140+678.46</f>
        <v>16818.46</v>
      </c>
      <c r="D23" s="52">
        <f>9380+923.08</f>
        <v>10303.08</v>
      </c>
      <c r="E23" s="52">
        <f>9760+322.67</f>
        <v>10082.67</v>
      </c>
      <c r="F23" s="52">
        <f>9560+1207.62</f>
        <v>10767.619999999999</v>
      </c>
      <c r="G23" s="52">
        <v>14760</v>
      </c>
      <c r="H23" s="52">
        <v>10180</v>
      </c>
      <c r="I23" s="52">
        <f>1170+10360</f>
        <v>11530</v>
      </c>
      <c r="J23" s="52">
        <v>10340</v>
      </c>
      <c r="K23" s="52">
        <f>8860+1660</f>
        <v>10520</v>
      </c>
      <c r="L23" s="52">
        <v>14260</v>
      </c>
      <c r="M23" s="52">
        <f>9580+764.44</f>
        <v>10344.44</v>
      </c>
      <c r="N23" s="53">
        <f>4080+448.51</f>
        <v>4528.51</v>
      </c>
      <c r="O23" s="139">
        <f>SUM(Tabla5[[#This Row],[Gener]:[Desembre]])</f>
        <v>134434.78</v>
      </c>
    </row>
    <row r="24" spans="1:15" x14ac:dyDescent="0.25">
      <c r="A24" s="110">
        <v>20</v>
      </c>
      <c r="B24" s="107" t="s">
        <v>17</v>
      </c>
      <c r="C24" s="56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3"/>
      <c r="O24" s="139">
        <f>SUM(Tabla5[[#This Row],[Gener]:[Desembre]])</f>
        <v>0</v>
      </c>
    </row>
    <row r="25" spans="1:15" x14ac:dyDescent="0.25">
      <c r="A25" s="110">
        <v>21</v>
      </c>
      <c r="B25" s="107" t="s">
        <v>18</v>
      </c>
      <c r="C25" s="56">
        <f>2136.13</f>
        <v>2136.13</v>
      </c>
      <c r="D25" s="52">
        <f>1468.8</f>
        <v>1468.8</v>
      </c>
      <c r="E25" s="52">
        <v>2780</v>
      </c>
      <c r="F25" s="52">
        <v>1646.32</v>
      </c>
      <c r="G25" s="52">
        <v>1703.53</v>
      </c>
      <c r="H25" s="52">
        <v>1654.25</v>
      </c>
      <c r="I25" s="52"/>
      <c r="J25" s="52">
        <v>5648.57</v>
      </c>
      <c r="K25" s="52">
        <v>1991.11</v>
      </c>
      <c r="L25" s="52">
        <v>1949.49</v>
      </c>
      <c r="M25" s="52"/>
      <c r="N25" s="53">
        <v>3138.17</v>
      </c>
      <c r="O25" s="139">
        <f>SUM(Tabla5[[#This Row],[Gener]:[Desembre]])</f>
        <v>24116.370000000003</v>
      </c>
    </row>
    <row r="26" spans="1:15" x14ac:dyDescent="0.25">
      <c r="A26" s="110">
        <v>22</v>
      </c>
      <c r="B26" s="107" t="s">
        <v>19</v>
      </c>
      <c r="C26" s="56">
        <f>16086.33+226.15</f>
        <v>16312.48</v>
      </c>
      <c r="D26" s="52">
        <f>21127.74+230.77</f>
        <v>21358.510000000002</v>
      </c>
      <c r="E26" s="52">
        <f>26544.34+161.33</f>
        <v>26705.670000000002</v>
      </c>
      <c r="F26" s="52">
        <f>9944.1+476.67+127.14</f>
        <v>10547.91</v>
      </c>
      <c r="G26" s="52">
        <v>13242.22</v>
      </c>
      <c r="H26" s="52">
        <v>21933.040000000001</v>
      </c>
      <c r="I26" s="52">
        <f>24059.75+338.18</f>
        <v>24397.93</v>
      </c>
      <c r="J26" s="52">
        <v>16598.27</v>
      </c>
      <c r="K26" s="52">
        <v>19509.23</v>
      </c>
      <c r="L26" s="52">
        <v>15857.1</v>
      </c>
      <c r="M26" s="52">
        <v>9805.3799999999992</v>
      </c>
      <c r="N26" s="53">
        <v>37934.65</v>
      </c>
      <c r="O26" s="139">
        <f>SUM(Tabla5[[#This Row],[Gener]:[Desembre]])</f>
        <v>234202.39</v>
      </c>
    </row>
    <row r="27" spans="1:15" x14ac:dyDescent="0.25">
      <c r="A27" s="110">
        <v>23</v>
      </c>
      <c r="B27" s="107" t="s">
        <v>43</v>
      </c>
      <c r="C27" s="56">
        <f>11837.75</f>
        <v>11837.75</v>
      </c>
      <c r="D27" s="52">
        <f>7925.63</f>
        <v>7925.63</v>
      </c>
      <c r="E27" s="52">
        <v>14410.38</v>
      </c>
      <c r="F27" s="52">
        <v>5235.4399999999996</v>
      </c>
      <c r="G27" s="52">
        <v>9842.14</v>
      </c>
      <c r="H27" s="52">
        <v>10429.66</v>
      </c>
      <c r="I27" s="52">
        <v>14792</v>
      </c>
      <c r="J27" s="52">
        <v>9861.08</v>
      </c>
      <c r="K27" s="52">
        <v>8013.5</v>
      </c>
      <c r="L27" s="52">
        <v>13268.22</v>
      </c>
      <c r="M27" s="52">
        <v>18679.62</v>
      </c>
      <c r="N27" s="53">
        <v>7489.52</v>
      </c>
      <c r="O27" s="139">
        <f>SUM(Tabla5[[#This Row],[Gener]:[Desembre]])</f>
        <v>131784.94</v>
      </c>
    </row>
    <row r="28" spans="1:15" x14ac:dyDescent="0.25">
      <c r="A28" s="110">
        <v>24</v>
      </c>
      <c r="B28" s="107" t="s">
        <v>44</v>
      </c>
      <c r="C28" s="56">
        <f>12519.63</f>
        <v>12519.63</v>
      </c>
      <c r="D28" s="52">
        <f>6486</f>
        <v>6486</v>
      </c>
      <c r="E28" s="52">
        <v>9280</v>
      </c>
      <c r="F28" s="52">
        <v>8885.48</v>
      </c>
      <c r="G28" s="52">
        <v>9844.34</v>
      </c>
      <c r="H28" s="52">
        <v>12246.96</v>
      </c>
      <c r="I28" s="52">
        <v>14527.05</v>
      </c>
      <c r="J28" s="52">
        <v>13898.4</v>
      </c>
      <c r="K28" s="52">
        <v>12123.87</v>
      </c>
      <c r="L28" s="52">
        <v>6569.65</v>
      </c>
      <c r="M28" s="52">
        <v>8706.67</v>
      </c>
      <c r="N28" s="53">
        <v>13557.72</v>
      </c>
      <c r="O28" s="139">
        <f>SUM(Tabla5[[#This Row],[Gener]:[Desembre]])</f>
        <v>128645.76999999997</v>
      </c>
    </row>
    <row r="29" spans="1:15" x14ac:dyDescent="0.25">
      <c r="A29" s="110">
        <v>25</v>
      </c>
      <c r="B29" s="107" t="s">
        <v>20</v>
      </c>
      <c r="C29" s="56">
        <f>45606.35+620</f>
        <v>46226.35</v>
      </c>
      <c r="D29" s="52">
        <f>14896.2+940</f>
        <v>15836.2</v>
      </c>
      <c r="E29" s="52">
        <f>21995.37+290</f>
        <v>22285.37</v>
      </c>
      <c r="F29" s="52">
        <f>21586.96+127.14</f>
        <v>21714.1</v>
      </c>
      <c r="G29" s="52">
        <v>30484.639999999999</v>
      </c>
      <c r="H29" s="52">
        <v>13432.32</v>
      </c>
      <c r="I29" s="52">
        <v>37803.660000000003</v>
      </c>
      <c r="J29" s="52">
        <f>37222.6+460</f>
        <v>37682.6</v>
      </c>
      <c r="K29" s="52">
        <v>22114.78</v>
      </c>
      <c r="L29" s="52">
        <v>17567.52</v>
      </c>
      <c r="M29" s="52">
        <v>30964.21</v>
      </c>
      <c r="N29" s="53">
        <v>21999.25</v>
      </c>
      <c r="O29" s="139">
        <f>SUM(Tabla5[[#This Row],[Gener]:[Desembre]])</f>
        <v>318111</v>
      </c>
    </row>
    <row r="30" spans="1:15" x14ac:dyDescent="0.25">
      <c r="A30" s="110">
        <v>26</v>
      </c>
      <c r="B30" s="107" t="s">
        <v>45</v>
      </c>
      <c r="C30" s="56">
        <f>6180</f>
        <v>6180</v>
      </c>
      <c r="D30" s="52">
        <f>4720</f>
        <v>4720</v>
      </c>
      <c r="E30" s="52">
        <v>7860</v>
      </c>
      <c r="F30" s="52">
        <v>5700</v>
      </c>
      <c r="G30" s="52">
        <v>5220</v>
      </c>
      <c r="H30" s="52">
        <v>5900</v>
      </c>
      <c r="I30" s="52">
        <v>6200</v>
      </c>
      <c r="J30" s="52">
        <v>8200</v>
      </c>
      <c r="K30" s="52">
        <v>5580</v>
      </c>
      <c r="L30" s="52">
        <v>4800</v>
      </c>
      <c r="M30" s="52">
        <v>6400</v>
      </c>
      <c r="N30" s="53">
        <v>5320</v>
      </c>
      <c r="O30" s="139">
        <f>SUM(Tabla5[[#This Row],[Gener]:[Desembre]])</f>
        <v>72080</v>
      </c>
    </row>
    <row r="31" spans="1:15" x14ac:dyDescent="0.25">
      <c r="A31" s="110">
        <v>27</v>
      </c>
      <c r="B31" s="107" t="s">
        <v>46</v>
      </c>
      <c r="C31" s="56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3"/>
      <c r="O31" s="139">
        <f>SUM(Tabla5[[#This Row],[Gener]:[Desembre]])</f>
        <v>0</v>
      </c>
    </row>
    <row r="32" spans="1:15" x14ac:dyDescent="0.25">
      <c r="A32" s="110">
        <v>28</v>
      </c>
      <c r="B32" s="107" t="s">
        <v>47</v>
      </c>
      <c r="C32" s="56">
        <f>9307.26</f>
        <v>9307.26</v>
      </c>
      <c r="D32" s="52">
        <f>14480</f>
        <v>14480</v>
      </c>
      <c r="E32" s="52">
        <v>2861.18</v>
      </c>
      <c r="F32" s="52">
        <v>10559.52</v>
      </c>
      <c r="G32" s="52">
        <v>14661.1</v>
      </c>
      <c r="H32" s="52">
        <v>10248.98</v>
      </c>
      <c r="I32" s="52">
        <v>8307.27</v>
      </c>
      <c r="J32" s="52">
        <v>15704.16</v>
      </c>
      <c r="K32" s="52">
        <v>8931.1299999999992</v>
      </c>
      <c r="L32" s="52">
        <v>12110</v>
      </c>
      <c r="M32" s="52">
        <v>13384.71</v>
      </c>
      <c r="N32" s="53">
        <v>6409.74</v>
      </c>
      <c r="O32" s="139">
        <f>SUM(Tabla5[[#This Row],[Gener]:[Desembre]])</f>
        <v>126965.05000000003</v>
      </c>
    </row>
    <row r="33" spans="1:15" x14ac:dyDescent="0.25">
      <c r="A33" s="110">
        <v>29</v>
      </c>
      <c r="B33" s="107" t="s">
        <v>48</v>
      </c>
      <c r="C33" s="56">
        <f>305.16</f>
        <v>305.16000000000003</v>
      </c>
      <c r="D33" s="52">
        <f>183.6</f>
        <v>183.6</v>
      </c>
      <c r="E33" s="52"/>
      <c r="F33" s="52">
        <v>205.79</v>
      </c>
      <c r="G33" s="52">
        <v>212.94</v>
      </c>
      <c r="H33" s="52">
        <v>293.33</v>
      </c>
      <c r="I33" s="52"/>
      <c r="J33" s="52">
        <v>592.77</v>
      </c>
      <c r="K33" s="52">
        <v>331.85</v>
      </c>
      <c r="L33" s="52"/>
      <c r="M33" s="52"/>
      <c r="N33" s="53">
        <v>458.08</v>
      </c>
      <c r="O33" s="139">
        <f>SUM(Tabla5[[#This Row],[Gener]:[Desembre]])</f>
        <v>2583.52</v>
      </c>
    </row>
    <row r="34" spans="1:15" x14ac:dyDescent="0.25">
      <c r="A34" s="110">
        <v>30</v>
      </c>
      <c r="B34" s="107" t="s">
        <v>50</v>
      </c>
      <c r="C34" s="56">
        <f>700+19120</f>
        <v>19820</v>
      </c>
      <c r="D34" s="52">
        <f>340+13400</f>
        <v>13740</v>
      </c>
      <c r="E34" s="52">
        <v>13440</v>
      </c>
      <c r="F34" s="52">
        <v>13240</v>
      </c>
      <c r="G34" s="52">
        <v>17200</v>
      </c>
      <c r="H34" s="52">
        <v>15040</v>
      </c>
      <c r="I34" s="52">
        <v>15300</v>
      </c>
      <c r="J34" s="52">
        <v>18520</v>
      </c>
      <c r="K34" s="52">
        <v>14180</v>
      </c>
      <c r="L34" s="52">
        <v>15860</v>
      </c>
      <c r="M34" s="52">
        <v>13000</v>
      </c>
      <c r="N34" s="53">
        <v>13480</v>
      </c>
      <c r="O34" s="139">
        <f>SUM(Tabla5[[#This Row],[Gener]:[Desembre]])</f>
        <v>182820</v>
      </c>
    </row>
    <row r="35" spans="1:15" x14ac:dyDescent="0.25">
      <c r="A35" s="110">
        <v>31</v>
      </c>
      <c r="B35" s="107" t="s">
        <v>51</v>
      </c>
      <c r="C35" s="56">
        <f>3015.29</f>
        <v>3015.29</v>
      </c>
      <c r="D35" s="52">
        <f>4500</f>
        <v>4500</v>
      </c>
      <c r="E35" s="52">
        <v>2764.05</v>
      </c>
      <c r="F35" s="52">
        <v>1752.38</v>
      </c>
      <c r="G35" s="52">
        <v>2420</v>
      </c>
      <c r="H35" s="52">
        <v>1702.07</v>
      </c>
      <c r="I35" s="52">
        <v>289.57</v>
      </c>
      <c r="J35" s="52"/>
      <c r="K35" s="52">
        <v>2844.44</v>
      </c>
      <c r="L35" s="52">
        <v>2520</v>
      </c>
      <c r="M35" s="52">
        <v>2230</v>
      </c>
      <c r="N35" s="53">
        <v>1153.02</v>
      </c>
      <c r="O35" s="139">
        <f>SUM(Tabla5[[#This Row],[Gener]:[Desembre]])</f>
        <v>25190.82</v>
      </c>
    </row>
    <row r="36" spans="1:15" x14ac:dyDescent="0.25">
      <c r="A36" s="110">
        <v>32</v>
      </c>
      <c r="B36" s="107" t="s">
        <v>52</v>
      </c>
      <c r="C36" s="56">
        <f>22697.61</f>
        <v>22697.61</v>
      </c>
      <c r="D36" s="52">
        <f>21274.04</f>
        <v>21274.04</v>
      </c>
      <c r="E36" s="52">
        <v>13867.9</v>
      </c>
      <c r="F36" s="52">
        <v>15960</v>
      </c>
      <c r="G36" s="52">
        <v>5020</v>
      </c>
      <c r="H36" s="52">
        <v>29211.14</v>
      </c>
      <c r="I36" s="52">
        <v>22451.69</v>
      </c>
      <c r="J36" s="52"/>
      <c r="K36" s="52">
        <v>36193.5</v>
      </c>
      <c r="L36" s="52">
        <v>23814.09</v>
      </c>
      <c r="M36" s="52">
        <v>18487.88</v>
      </c>
      <c r="N36" s="53">
        <v>10299.719999999999</v>
      </c>
      <c r="O36" s="139">
        <f>SUM(Tabla5[[#This Row],[Gener]:[Desembre]])</f>
        <v>219277.57</v>
      </c>
    </row>
    <row r="37" spans="1:15" x14ac:dyDescent="0.25">
      <c r="A37" s="110">
        <v>33</v>
      </c>
      <c r="B37" s="107" t="s">
        <v>21</v>
      </c>
      <c r="C37" s="56">
        <f>1540.98</f>
        <v>1540.98</v>
      </c>
      <c r="D37" s="52"/>
      <c r="E37" s="52">
        <v>1421.05</v>
      </c>
      <c r="F37" s="52"/>
      <c r="G37" s="52"/>
      <c r="H37" s="52">
        <v>1550.37</v>
      </c>
      <c r="I37" s="52">
        <v>3017</v>
      </c>
      <c r="J37" s="52"/>
      <c r="K37" s="52">
        <v>2313.04</v>
      </c>
      <c r="L37" s="52"/>
      <c r="M37" s="52"/>
      <c r="N37" s="53">
        <v>2441.29</v>
      </c>
      <c r="O37" s="139">
        <f>SUM(Tabla5[[#This Row],[Gener]:[Desembre]])</f>
        <v>12283.73</v>
      </c>
    </row>
    <row r="38" spans="1:15" x14ac:dyDescent="0.25">
      <c r="A38" s="110">
        <v>34</v>
      </c>
      <c r="B38" s="107" t="s">
        <v>22</v>
      </c>
      <c r="C38" s="56">
        <f>4368.21</f>
        <v>4368.21</v>
      </c>
      <c r="D38" s="52">
        <f>4604.18</f>
        <v>4604.18</v>
      </c>
      <c r="E38" s="52">
        <v>5347.22</v>
      </c>
      <c r="F38" s="52">
        <v>5241.08</v>
      </c>
      <c r="G38" s="52"/>
      <c r="H38" s="52">
        <v>7214.28</v>
      </c>
      <c r="I38" s="52">
        <v>7390.3</v>
      </c>
      <c r="J38" s="52"/>
      <c r="K38" s="52">
        <v>9603.9699999999993</v>
      </c>
      <c r="L38" s="52">
        <v>7246.45</v>
      </c>
      <c r="M38" s="52">
        <v>3982.86</v>
      </c>
      <c r="N38" s="53">
        <v>7801.52</v>
      </c>
      <c r="O38" s="139">
        <f>SUM(Tabla5[[#This Row],[Gener]:[Desembre]])</f>
        <v>62800.070000000007</v>
      </c>
    </row>
    <row r="39" spans="1:15" x14ac:dyDescent="0.25">
      <c r="A39" s="110">
        <v>35</v>
      </c>
      <c r="B39" s="107" t="s">
        <v>23</v>
      </c>
      <c r="C39" s="56">
        <v>9864.27</v>
      </c>
      <c r="D39" s="52">
        <f>9251.84</f>
        <v>9251.84</v>
      </c>
      <c r="E39" s="52">
        <v>7342.11</v>
      </c>
      <c r="F39" s="52">
        <v>6260</v>
      </c>
      <c r="G39" s="52">
        <v>3726.78</v>
      </c>
      <c r="H39" s="52">
        <v>8154.75</v>
      </c>
      <c r="I39" s="52">
        <v>10272.969999999999</v>
      </c>
      <c r="J39" s="52"/>
      <c r="K39" s="52">
        <v>11058.45</v>
      </c>
      <c r="L39" s="52">
        <v>6296.3</v>
      </c>
      <c r="M39" s="52">
        <v>10596.92</v>
      </c>
      <c r="N39" s="53">
        <v>4344.93</v>
      </c>
      <c r="O39" s="139">
        <f>SUM(Tabla5[[#This Row],[Gener]:[Desembre]])</f>
        <v>87169.32</v>
      </c>
    </row>
    <row r="40" spans="1:15" x14ac:dyDescent="0.25">
      <c r="A40" s="110">
        <v>36</v>
      </c>
      <c r="B40" s="107" t="s">
        <v>24</v>
      </c>
      <c r="C40" s="56">
        <v>1663.45</v>
      </c>
      <c r="D40" s="52">
        <f>1810.48</f>
        <v>1810.48</v>
      </c>
      <c r="E40" s="52">
        <v>1533.02</v>
      </c>
      <c r="F40" s="52">
        <v>2402.16</v>
      </c>
      <c r="G40" s="52">
        <v>1342.61</v>
      </c>
      <c r="H40" s="52">
        <v>2260.7399999999998</v>
      </c>
      <c r="I40" s="52">
        <v>400</v>
      </c>
      <c r="J40" s="52"/>
      <c r="K40" s="52">
        <v>2637.04</v>
      </c>
      <c r="L40" s="52">
        <v>1423.33</v>
      </c>
      <c r="M40" s="52">
        <v>2070</v>
      </c>
      <c r="N40" s="53">
        <v>1020</v>
      </c>
      <c r="O40" s="139">
        <f>SUM(Tabla5[[#This Row],[Gener]:[Desembre]])</f>
        <v>18562.830000000002</v>
      </c>
    </row>
    <row r="41" spans="1:15" x14ac:dyDescent="0.25">
      <c r="A41" s="110">
        <v>37</v>
      </c>
      <c r="B41" s="107" t="s">
        <v>25</v>
      </c>
      <c r="C41" s="56">
        <v>14319.56</v>
      </c>
      <c r="D41" s="52">
        <f>3929.03</f>
        <v>3929.03</v>
      </c>
      <c r="E41" s="52">
        <v>6600</v>
      </c>
      <c r="F41" s="52">
        <v>2140</v>
      </c>
      <c r="G41" s="52">
        <v>12043.13</v>
      </c>
      <c r="H41" s="52">
        <v>12181.67</v>
      </c>
      <c r="I41" s="52">
        <v>7480</v>
      </c>
      <c r="J41" s="52">
        <v>2025.93</v>
      </c>
      <c r="K41" s="52">
        <v>14180</v>
      </c>
      <c r="L41" s="52">
        <v>9312.2000000000007</v>
      </c>
      <c r="M41" s="52">
        <v>15981.24</v>
      </c>
      <c r="N41" s="53">
        <v>5053.8</v>
      </c>
      <c r="O41" s="139">
        <f>SUM(Tabla5[[#This Row],[Gener]:[Desembre]])</f>
        <v>105246.56000000001</v>
      </c>
    </row>
    <row r="42" spans="1:15" x14ac:dyDescent="0.25">
      <c r="A42" s="110">
        <v>38</v>
      </c>
      <c r="B42" s="107" t="s">
        <v>5</v>
      </c>
      <c r="C42" s="56">
        <f>2568.44</f>
        <v>2568.44</v>
      </c>
      <c r="D42" s="52">
        <f>1791.3</f>
        <v>1791.3</v>
      </c>
      <c r="E42" s="52">
        <v>2474.29</v>
      </c>
      <c r="F42" s="52">
        <v>2125.16</v>
      </c>
      <c r="G42" s="52">
        <v>1856.25</v>
      </c>
      <c r="H42" s="52">
        <v>3307.33</v>
      </c>
      <c r="I42" s="52">
        <v>3645.71</v>
      </c>
      <c r="J42" s="52">
        <v>4611.1099999999997</v>
      </c>
      <c r="K42" s="52"/>
      <c r="L42" s="52">
        <v>3130.77</v>
      </c>
      <c r="M42" s="52">
        <v>1277.5</v>
      </c>
      <c r="N42" s="53">
        <v>5368.06</v>
      </c>
      <c r="O42" s="139">
        <f>SUM(Tabla5[[#This Row],[Gener]:[Desembre]])</f>
        <v>32155.920000000002</v>
      </c>
    </row>
    <row r="43" spans="1:15" x14ac:dyDescent="0.25">
      <c r="A43" s="110">
        <v>39</v>
      </c>
      <c r="B43" s="107" t="s">
        <v>6</v>
      </c>
      <c r="C43" s="56">
        <f>8056.75</f>
        <v>8056.75</v>
      </c>
      <c r="D43" s="52">
        <f>4607.83</f>
        <v>4607.83</v>
      </c>
      <c r="E43" s="52">
        <v>6500.25</v>
      </c>
      <c r="F43" s="52">
        <v>5268.06</v>
      </c>
      <c r="G43" s="52">
        <v>5848.75</v>
      </c>
      <c r="H43" s="52">
        <v>1557.14</v>
      </c>
      <c r="I43" s="52">
        <v>8148.33</v>
      </c>
      <c r="J43" s="52">
        <v>4490.17</v>
      </c>
      <c r="K43" s="52">
        <v>1604</v>
      </c>
      <c r="L43" s="52">
        <v>10206.950000000001</v>
      </c>
      <c r="M43" s="52">
        <v>2495.6799999999998</v>
      </c>
      <c r="N43" s="284">
        <v>8337.7000000000007</v>
      </c>
      <c r="O43" s="139">
        <f>SUM(Tabla5[[#This Row],[Gener]:[Desembre]])</f>
        <v>67121.61</v>
      </c>
    </row>
    <row r="44" spans="1:15" x14ac:dyDescent="0.25">
      <c r="A44" s="110">
        <v>40</v>
      </c>
      <c r="B44" s="107" t="s">
        <v>8</v>
      </c>
      <c r="C44" s="56">
        <f>739.77</f>
        <v>739.77</v>
      </c>
      <c r="D44" s="52">
        <f>358.26</f>
        <v>358.26</v>
      </c>
      <c r="E44" s="52">
        <v>494.86</v>
      </c>
      <c r="F44" s="52">
        <v>708.39</v>
      </c>
      <c r="G44" s="52">
        <v>675</v>
      </c>
      <c r="H44" s="52"/>
      <c r="I44" s="52">
        <v>1780.71</v>
      </c>
      <c r="J44" s="52"/>
      <c r="K44" s="52"/>
      <c r="L44" s="52">
        <v>917.14</v>
      </c>
      <c r="M44" s="52"/>
      <c r="N44" s="284">
        <v>862.94</v>
      </c>
      <c r="O44" s="139">
        <f>SUM(Tabla5[[#This Row],[Gener]:[Desembre]])</f>
        <v>6537.07</v>
      </c>
    </row>
    <row r="45" spans="1:15" ht="15.75" thickBot="1" x14ac:dyDescent="0.3">
      <c r="A45" s="271">
        <v>41</v>
      </c>
      <c r="B45" s="272" t="s">
        <v>49</v>
      </c>
      <c r="C45" s="273"/>
      <c r="D45" s="274"/>
      <c r="E45" s="274"/>
      <c r="F45" s="274"/>
      <c r="G45" s="274"/>
      <c r="H45" s="274"/>
      <c r="I45" s="274"/>
      <c r="J45" s="274"/>
      <c r="K45" s="274"/>
      <c r="L45" s="274"/>
      <c r="M45" s="274"/>
      <c r="N45" s="285"/>
      <c r="O45" s="140">
        <f>SUM(Tabla5[[#This Row],[Gener]:[Desembre]])</f>
        <v>0</v>
      </c>
    </row>
    <row r="46" spans="1:15" s="4" customFormat="1" ht="15.75" thickBot="1" x14ac:dyDescent="0.3">
      <c r="A46" s="276"/>
      <c r="B46" s="277" t="s">
        <v>38</v>
      </c>
      <c r="C46" s="278">
        <f t="shared" ref="C46:N46" si="0">SUBTOTAL(109,C5:C45)</f>
        <v>607847.87</v>
      </c>
      <c r="D46" s="279">
        <f t="shared" si="0"/>
        <v>425601.02</v>
      </c>
      <c r="E46" s="279">
        <f t="shared" si="0"/>
        <v>418578.74999999994</v>
      </c>
      <c r="F46" s="279">
        <f t="shared" si="0"/>
        <v>457886.35999999993</v>
      </c>
      <c r="G46" s="279">
        <f t="shared" si="0"/>
        <v>470117.76</v>
      </c>
      <c r="H46" s="279">
        <f t="shared" si="0"/>
        <v>407979.97000000003</v>
      </c>
      <c r="I46" s="279">
        <f t="shared" si="0"/>
        <v>541176.39999999979</v>
      </c>
      <c r="J46" s="279">
        <f t="shared" si="0"/>
        <v>453390.63</v>
      </c>
      <c r="K46" s="279">
        <f t="shared" si="0"/>
        <v>536190.59999999986</v>
      </c>
      <c r="L46" s="279">
        <f t="shared" si="0"/>
        <v>536795.06000000006</v>
      </c>
      <c r="M46" s="279">
        <f t="shared" si="0"/>
        <v>415500.81999999995</v>
      </c>
      <c r="N46" s="286">
        <f t="shared" si="0"/>
        <v>524502.13</v>
      </c>
      <c r="O46" s="290">
        <f>SUBTOTAL(109,O5:O45)</f>
        <v>5795567.370000001</v>
      </c>
    </row>
    <row r="47" spans="1:15" s="4" customFormat="1" ht="15.75" thickBot="1" x14ac:dyDescent="0.3">
      <c r="A47" s="280"/>
      <c r="B47" s="281" t="s">
        <v>79</v>
      </c>
      <c r="C47" s="282">
        <v>5492</v>
      </c>
      <c r="D47" s="280">
        <v>3559</v>
      </c>
      <c r="E47" s="280">
        <v>3521.25</v>
      </c>
      <c r="F47" s="280">
        <v>6493.63</v>
      </c>
      <c r="G47" s="280">
        <v>3822.2</v>
      </c>
      <c r="H47" s="280">
        <v>4320.03</v>
      </c>
      <c r="I47" s="280">
        <v>8003.57</v>
      </c>
      <c r="J47" s="280">
        <f>6035.1+514.29</f>
        <v>6549.39</v>
      </c>
      <c r="K47" s="280">
        <v>10749.39</v>
      </c>
      <c r="L47" s="280">
        <v>5665.04</v>
      </c>
      <c r="M47" s="280">
        <v>5379.18</v>
      </c>
      <c r="N47" s="287">
        <v>5977.84</v>
      </c>
      <c r="O47" s="292">
        <f>SUM(Tabla5[[#This Row],[Gener]:[Desembre]])</f>
        <v>69532.52</v>
      </c>
    </row>
    <row r="48" spans="1:15" s="4" customFormat="1" ht="15.75" thickBot="1" x14ac:dyDescent="0.3">
      <c r="A48" s="269"/>
      <c r="B48" s="283" t="s">
        <v>71</v>
      </c>
      <c r="C48" s="270">
        <f>C46+C47</f>
        <v>613339.87</v>
      </c>
      <c r="D48" s="269">
        <f t="shared" ref="D48:N48" si="1">D46+D47</f>
        <v>429160.02</v>
      </c>
      <c r="E48" s="269">
        <f t="shared" si="1"/>
        <v>422099.99999999994</v>
      </c>
      <c r="F48" s="269">
        <f t="shared" si="1"/>
        <v>464379.98999999993</v>
      </c>
      <c r="G48" s="269">
        <f t="shared" si="1"/>
        <v>473939.96</v>
      </c>
      <c r="H48" s="269">
        <f t="shared" si="1"/>
        <v>412300.00000000006</v>
      </c>
      <c r="I48" s="269">
        <f t="shared" si="1"/>
        <v>549179.96999999974</v>
      </c>
      <c r="J48" s="269">
        <f t="shared" si="1"/>
        <v>459940.02</v>
      </c>
      <c r="K48" s="269">
        <f t="shared" si="1"/>
        <v>546939.98999999987</v>
      </c>
      <c r="L48" s="269">
        <f t="shared" si="1"/>
        <v>542460.10000000009</v>
      </c>
      <c r="M48" s="269">
        <f t="shared" si="1"/>
        <v>420879.99999999994</v>
      </c>
      <c r="N48" s="288">
        <f t="shared" si="1"/>
        <v>530479.97</v>
      </c>
      <c r="O48" s="275">
        <f>SUM(Tabla5[[#This Row],[Gener]:[Desembre]])</f>
        <v>5865099.8899999997</v>
      </c>
    </row>
    <row r="49" spans="1:15" ht="15.75" thickBot="1" x14ac:dyDescent="0.3">
      <c r="A49" s="105"/>
      <c r="B49" s="28" t="s">
        <v>58</v>
      </c>
      <c r="C49" s="29">
        <v>665919.99</v>
      </c>
      <c r="D49" s="30">
        <v>362839.65</v>
      </c>
      <c r="E49" s="30">
        <v>451140.36999999994</v>
      </c>
      <c r="F49" s="30">
        <v>461399.97999999986</v>
      </c>
      <c r="G49" s="30">
        <v>441439.95</v>
      </c>
      <c r="H49" s="30">
        <v>445120.02999999985</v>
      </c>
      <c r="I49" s="30">
        <v>494700</v>
      </c>
      <c r="J49" s="30">
        <v>532180.97</v>
      </c>
      <c r="K49" s="30">
        <v>428980</v>
      </c>
      <c r="L49" s="30">
        <v>455039.99000000011</v>
      </c>
      <c r="M49" s="30">
        <v>426259.8000000001</v>
      </c>
      <c r="N49" s="289">
        <v>493020.04000000004</v>
      </c>
      <c r="O49" s="291">
        <f>SUM(Tabla5[[#This Row],[Gener]:[Desembre]])</f>
        <v>5658040.7699999996</v>
      </c>
    </row>
    <row r="50" spans="1:15" ht="15.75" thickBot="1" x14ac:dyDescent="0.3">
      <c r="A50" s="105"/>
      <c r="B50" s="87" t="s">
        <v>59</v>
      </c>
      <c r="C50" s="88">
        <f t="shared" ref="C50:O50" si="2">(C46/C49)-1</f>
        <v>-8.7205851862173445E-2</v>
      </c>
      <c r="D50" s="88">
        <f t="shared" si="2"/>
        <v>0.17297274429627518</v>
      </c>
      <c r="E50" s="88">
        <f t="shared" si="2"/>
        <v>-7.2176249711370266E-2</v>
      </c>
      <c r="F50" s="88">
        <f t="shared" si="2"/>
        <v>-7.6151282017826727E-3</v>
      </c>
      <c r="G50" s="88">
        <f t="shared" si="2"/>
        <v>6.4964238057747092E-2</v>
      </c>
      <c r="H50" s="88">
        <f t="shared" si="2"/>
        <v>-8.3438303147130521E-2</v>
      </c>
      <c r="I50" s="88">
        <f t="shared" si="2"/>
        <v>9.3948655750959675E-2</v>
      </c>
      <c r="J50" s="88">
        <f t="shared" si="2"/>
        <v>-0.14805178020551912</v>
      </c>
      <c r="K50" s="88">
        <f t="shared" si="2"/>
        <v>0.24991980978134154</v>
      </c>
      <c r="L50" s="88">
        <f t="shared" si="2"/>
        <v>0.17966568169096497</v>
      </c>
      <c r="M50" s="88">
        <f t="shared" si="2"/>
        <v>-2.5240428489855637E-2</v>
      </c>
      <c r="N50" s="88">
        <f t="shared" si="2"/>
        <v>6.3855599054350787E-2</v>
      </c>
      <c r="O50" s="88">
        <f t="shared" si="2"/>
        <v>2.4306399616134566E-2</v>
      </c>
    </row>
  </sheetData>
  <pageMargins left="0.19685039370078741" right="0.19685039370078741" top="0.31496062992125984" bottom="0.31496062992125984" header="0.15748031496062992" footer="0.15748031496062992"/>
  <pageSetup paperSize="9" scale="73" orientation="landscape" r:id="rId1"/>
  <headerFooter>
    <oddHeader>&amp;L&amp;"Calibri,Normal"&amp;G&amp;C&amp;"Calibri,Normal"&amp;F&amp;R&amp;"Calibri,Normal"&amp;G</oddHeader>
    <oddFooter>&amp;L&amp;"Calibri,Normal"&amp;D&amp;C&amp;"Calibri,Normal"&amp;A&amp;R&amp;"Calibri,Normal"&amp;P de &amp;N</oddFooter>
  </headerFooter>
  <drawing r:id="rId2"/>
  <legacyDrawingHF r:id="rId3"/>
  <tableParts count="1">
    <tablePart r:id="rId4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56"/>
  <sheetViews>
    <sheetView showZeros="0" topLeftCell="B1" zoomScaleNormal="100" workbookViewId="0">
      <selection activeCell="N35" sqref="N35"/>
    </sheetView>
  </sheetViews>
  <sheetFormatPr baseColWidth="10" defaultColWidth="11.42578125" defaultRowHeight="15" x14ac:dyDescent="0.25"/>
  <cols>
    <col min="1" max="1" width="5.7109375" style="3" customWidth="1"/>
    <col min="2" max="2" width="26.140625" style="3" bestFit="1" customWidth="1"/>
    <col min="3" max="14" width="11.7109375" style="2" customWidth="1"/>
    <col min="15" max="15" width="11.42578125" style="100"/>
    <col min="16" max="16384" width="11.42578125" style="3"/>
  </cols>
  <sheetData>
    <row r="1" spans="1:15" ht="15.75" x14ac:dyDescent="0.25">
      <c r="B1" s="1" t="s">
        <v>74</v>
      </c>
    </row>
    <row r="2" spans="1:15" ht="15.75" thickBot="1" x14ac:dyDescent="0.3">
      <c r="C2" s="4" t="s">
        <v>55</v>
      </c>
    </row>
    <row r="3" spans="1:15" ht="15.75" thickBot="1" x14ac:dyDescent="0.3">
      <c r="A3" s="147" t="s">
        <v>61</v>
      </c>
      <c r="B3" s="144" t="s">
        <v>57</v>
      </c>
      <c r="C3" s="151" t="s">
        <v>26</v>
      </c>
      <c r="D3" s="152" t="s">
        <v>27</v>
      </c>
      <c r="E3" s="152" t="s">
        <v>28</v>
      </c>
      <c r="F3" s="152" t="s">
        <v>29</v>
      </c>
      <c r="G3" s="152" t="s">
        <v>30</v>
      </c>
      <c r="H3" s="152" t="s">
        <v>31</v>
      </c>
      <c r="I3" s="152" t="s">
        <v>32</v>
      </c>
      <c r="J3" s="152" t="s">
        <v>33</v>
      </c>
      <c r="K3" s="152" t="s">
        <v>34</v>
      </c>
      <c r="L3" s="152" t="s">
        <v>35</v>
      </c>
      <c r="M3" s="152" t="s">
        <v>36</v>
      </c>
      <c r="N3" s="153" t="s">
        <v>37</v>
      </c>
      <c r="O3" s="167" t="s">
        <v>38</v>
      </c>
    </row>
    <row r="4" spans="1:15" x14ac:dyDescent="0.25">
      <c r="A4" s="148">
        <v>1</v>
      </c>
      <c r="B4" s="145" t="s">
        <v>39</v>
      </c>
      <c r="C4" s="156">
        <f>212540</f>
        <v>212540</v>
      </c>
      <c r="D4" s="157">
        <f>193040</f>
        <v>193040</v>
      </c>
      <c r="E4" s="157">
        <v>224520</v>
      </c>
      <c r="F4" s="157">
        <v>219640</v>
      </c>
      <c r="G4" s="157">
        <v>236040</v>
      </c>
      <c r="H4" s="157">
        <v>234440</v>
      </c>
      <c r="I4" s="157">
        <v>251180</v>
      </c>
      <c r="J4" s="157">
        <v>231600</v>
      </c>
      <c r="K4" s="158">
        <v>224180</v>
      </c>
      <c r="L4" s="158">
        <v>216300</v>
      </c>
      <c r="M4" s="158">
        <v>207000</v>
      </c>
      <c r="N4" s="159">
        <v>235020</v>
      </c>
      <c r="O4" s="166">
        <f>SUM(Tabla12[[#This Row],[Gener]:[Desembre]])</f>
        <v>2685500</v>
      </c>
    </row>
    <row r="5" spans="1:15" x14ac:dyDescent="0.25">
      <c r="A5" s="149">
        <v>2</v>
      </c>
      <c r="B5" s="145" t="s">
        <v>0</v>
      </c>
      <c r="C5" s="160"/>
      <c r="D5" s="113"/>
      <c r="E5" s="113"/>
      <c r="F5" s="113"/>
      <c r="G5" s="113"/>
      <c r="H5" s="113"/>
      <c r="I5" s="113"/>
      <c r="J5" s="113"/>
      <c r="K5" s="82"/>
      <c r="L5" s="82"/>
      <c r="M5" s="82"/>
      <c r="N5" s="161"/>
      <c r="O5" s="154">
        <v>0</v>
      </c>
    </row>
    <row r="6" spans="1:15" x14ac:dyDescent="0.25">
      <c r="A6" s="149">
        <v>3</v>
      </c>
      <c r="B6" s="145" t="s">
        <v>1</v>
      </c>
      <c r="C6" s="160"/>
      <c r="D6" s="113"/>
      <c r="E6" s="113"/>
      <c r="F6" s="113"/>
      <c r="G6" s="113"/>
      <c r="H6" s="113"/>
      <c r="I6" s="113"/>
      <c r="J6" s="113"/>
      <c r="K6" s="82"/>
      <c r="L6" s="82"/>
      <c r="M6" s="82"/>
      <c r="N6" s="161"/>
      <c r="O6" s="154">
        <v>0</v>
      </c>
    </row>
    <row r="7" spans="1:15" x14ac:dyDescent="0.25">
      <c r="A7" s="149">
        <v>4</v>
      </c>
      <c r="B7" s="145" t="s">
        <v>2</v>
      </c>
      <c r="C7" s="160">
        <f>9840.42</f>
        <v>9840.42</v>
      </c>
      <c r="D7" s="113">
        <f>13147</f>
        <v>13147</v>
      </c>
      <c r="E7" s="113">
        <v>14520</v>
      </c>
      <c r="F7" s="113">
        <v>15904</v>
      </c>
      <c r="G7" s="113">
        <v>7424</v>
      </c>
      <c r="H7" s="113">
        <v>8147</v>
      </c>
      <c r="I7" s="113">
        <v>14247</v>
      </c>
      <c r="J7" s="113">
        <v>17923</v>
      </c>
      <c r="K7" s="82">
        <v>13254</v>
      </c>
      <c r="L7" s="82">
        <v>15375</v>
      </c>
      <c r="M7" s="82">
        <v>14120</v>
      </c>
      <c r="N7" s="161">
        <v>14752.33</v>
      </c>
      <c r="O7" s="154">
        <f>SUM(Tabla12[[#This Row],[Gener]:[Desembre]])</f>
        <v>158653.74999999997</v>
      </c>
    </row>
    <row r="8" spans="1:15" x14ac:dyDescent="0.25">
      <c r="A8" s="149">
        <v>5</v>
      </c>
      <c r="B8" s="145" t="s">
        <v>3</v>
      </c>
      <c r="C8" s="160"/>
      <c r="D8" s="113"/>
      <c r="E8" s="113"/>
      <c r="F8" s="113"/>
      <c r="G8" s="113"/>
      <c r="H8" s="113"/>
      <c r="I8" s="113"/>
      <c r="J8" s="113"/>
      <c r="K8" s="82"/>
      <c r="L8" s="82"/>
      <c r="M8" s="82"/>
      <c r="N8" s="161"/>
      <c r="O8" s="154">
        <v>0</v>
      </c>
    </row>
    <row r="9" spans="1:15" x14ac:dyDescent="0.25">
      <c r="A9" s="149">
        <v>6</v>
      </c>
      <c r="B9" s="145" t="s">
        <v>4</v>
      </c>
      <c r="C9" s="160">
        <f>364880</f>
        <v>364880</v>
      </c>
      <c r="D9" s="113">
        <f>330760</f>
        <v>330760</v>
      </c>
      <c r="E9" s="113">
        <v>376260</v>
      </c>
      <c r="F9" s="113">
        <v>346220</v>
      </c>
      <c r="G9" s="113">
        <v>397780</v>
      </c>
      <c r="H9" s="113">
        <v>386760</v>
      </c>
      <c r="I9" s="113">
        <v>406240</v>
      </c>
      <c r="J9" s="113">
        <v>356280</v>
      </c>
      <c r="K9" s="82">
        <v>370700</v>
      </c>
      <c r="L9" s="82">
        <v>352420</v>
      </c>
      <c r="M9" s="82">
        <v>358200</v>
      </c>
      <c r="N9" s="161">
        <v>371100</v>
      </c>
      <c r="O9" s="154">
        <f>SUM(Tabla12[[#This Row],[Gener]:[Desembre]])</f>
        <v>4417600</v>
      </c>
    </row>
    <row r="10" spans="1:15" x14ac:dyDescent="0.25">
      <c r="A10" s="149">
        <v>7</v>
      </c>
      <c r="B10" s="145" t="s">
        <v>60</v>
      </c>
      <c r="C10" s="160"/>
      <c r="D10" s="113"/>
      <c r="E10" s="113"/>
      <c r="F10" s="113"/>
      <c r="G10" s="113"/>
      <c r="H10" s="113"/>
      <c r="I10" s="113"/>
      <c r="J10" s="113"/>
      <c r="K10" s="82"/>
      <c r="L10" s="82"/>
      <c r="M10" s="82"/>
      <c r="N10" s="161"/>
      <c r="O10" s="154"/>
    </row>
    <row r="11" spans="1:15" x14ac:dyDescent="0.25">
      <c r="A11" s="149">
        <v>8</v>
      </c>
      <c r="B11" s="145" t="s">
        <v>7</v>
      </c>
      <c r="C11" s="160">
        <f>12755.81</f>
        <v>12755.81</v>
      </c>
      <c r="D11" s="113">
        <f>8556</f>
        <v>8556</v>
      </c>
      <c r="E11" s="113">
        <v>8709</v>
      </c>
      <c r="F11" s="113">
        <v>9540</v>
      </c>
      <c r="G11" s="113">
        <v>11842</v>
      </c>
      <c r="H11" s="113">
        <v>16668</v>
      </c>
      <c r="I11" s="113">
        <v>14778.29</v>
      </c>
      <c r="J11" s="113">
        <v>16005</v>
      </c>
      <c r="K11" s="82">
        <v>11835</v>
      </c>
      <c r="L11" s="82">
        <v>11161</v>
      </c>
      <c r="M11" s="82">
        <v>12607</v>
      </c>
      <c r="N11" s="161">
        <v>13178.33</v>
      </c>
      <c r="O11" s="154">
        <f>SUM(Tabla12[[#This Row],[Gener]:[Desembre]])</f>
        <v>147635.43</v>
      </c>
    </row>
    <row r="12" spans="1:15" x14ac:dyDescent="0.25">
      <c r="A12" s="149">
        <v>9</v>
      </c>
      <c r="B12" s="145" t="s">
        <v>40</v>
      </c>
      <c r="C12" s="160"/>
      <c r="D12" s="113"/>
      <c r="E12" s="113"/>
      <c r="F12" s="113"/>
      <c r="G12" s="113"/>
      <c r="H12" s="113"/>
      <c r="I12" s="113"/>
      <c r="J12" s="113"/>
      <c r="K12" s="82"/>
      <c r="L12" s="82"/>
      <c r="M12" s="82"/>
      <c r="N12" s="161"/>
      <c r="O12" s="154">
        <v>0</v>
      </c>
    </row>
    <row r="13" spans="1:15" x14ac:dyDescent="0.25">
      <c r="A13" s="149">
        <v>10</v>
      </c>
      <c r="B13" s="145" t="s">
        <v>41</v>
      </c>
      <c r="C13" s="160"/>
      <c r="D13" s="113"/>
      <c r="E13" s="113"/>
      <c r="F13" s="113"/>
      <c r="G13" s="113"/>
      <c r="H13" s="113"/>
      <c r="I13" s="113"/>
      <c r="J13" s="113"/>
      <c r="K13" s="82"/>
      <c r="L13" s="82"/>
      <c r="M13" s="82"/>
      <c r="N13" s="161"/>
      <c r="O13" s="154">
        <v>0</v>
      </c>
    </row>
    <row r="14" spans="1:15" x14ac:dyDescent="0.25">
      <c r="A14" s="149">
        <v>11</v>
      </c>
      <c r="B14" s="145" t="s">
        <v>9</v>
      </c>
      <c r="C14" s="160"/>
      <c r="D14" s="113"/>
      <c r="E14" s="113"/>
      <c r="F14" s="113"/>
      <c r="G14" s="113"/>
      <c r="H14" s="113"/>
      <c r="I14" s="113"/>
      <c r="J14" s="113"/>
      <c r="K14" s="82"/>
      <c r="L14" s="82"/>
      <c r="M14" s="82"/>
      <c r="N14" s="161"/>
      <c r="O14" s="154">
        <v>0</v>
      </c>
    </row>
    <row r="15" spans="1:15" x14ac:dyDescent="0.25">
      <c r="A15" s="149">
        <v>12</v>
      </c>
      <c r="B15" s="145" t="s">
        <v>10</v>
      </c>
      <c r="C15" s="160"/>
      <c r="D15" s="113"/>
      <c r="E15" s="113"/>
      <c r="F15" s="113"/>
      <c r="G15" s="113"/>
      <c r="H15" s="113"/>
      <c r="I15" s="113"/>
      <c r="J15" s="113"/>
      <c r="K15" s="82"/>
      <c r="L15" s="82"/>
      <c r="M15" s="82"/>
      <c r="N15" s="161"/>
      <c r="O15" s="154">
        <v>0</v>
      </c>
    </row>
    <row r="16" spans="1:15" x14ac:dyDescent="0.25">
      <c r="A16" s="149">
        <v>13</v>
      </c>
      <c r="B16" s="145" t="s">
        <v>42</v>
      </c>
      <c r="C16" s="160"/>
      <c r="D16" s="113"/>
      <c r="E16" s="113"/>
      <c r="F16" s="113"/>
      <c r="G16" s="113"/>
      <c r="H16" s="113"/>
      <c r="I16" s="113"/>
      <c r="J16" s="113"/>
      <c r="K16" s="82"/>
      <c r="L16" s="82"/>
      <c r="M16" s="82"/>
      <c r="N16" s="161"/>
      <c r="O16" s="154">
        <v>0</v>
      </c>
    </row>
    <row r="17" spans="1:15" x14ac:dyDescent="0.25">
      <c r="A17" s="149">
        <v>14</v>
      </c>
      <c r="B17" s="145" t="s">
        <v>11</v>
      </c>
      <c r="C17" s="160"/>
      <c r="D17" s="113"/>
      <c r="E17" s="113"/>
      <c r="F17" s="113"/>
      <c r="G17" s="113"/>
      <c r="H17" s="113"/>
      <c r="I17" s="113"/>
      <c r="J17" s="113"/>
      <c r="K17" s="82"/>
      <c r="L17" s="82"/>
      <c r="M17" s="82"/>
      <c r="N17" s="161"/>
      <c r="O17" s="154">
        <v>0</v>
      </c>
    </row>
    <row r="18" spans="1:15" x14ac:dyDescent="0.25">
      <c r="A18" s="149">
        <v>15</v>
      </c>
      <c r="B18" s="145" t="s">
        <v>12</v>
      </c>
      <c r="C18" s="160"/>
      <c r="D18" s="113"/>
      <c r="E18" s="113"/>
      <c r="F18" s="113"/>
      <c r="G18" s="113"/>
      <c r="H18" s="113"/>
      <c r="I18" s="113"/>
      <c r="J18" s="113"/>
      <c r="K18" s="82"/>
      <c r="L18" s="82"/>
      <c r="M18" s="82"/>
      <c r="N18" s="161"/>
      <c r="O18" s="154">
        <v>0</v>
      </c>
    </row>
    <row r="19" spans="1:15" x14ac:dyDescent="0.25">
      <c r="A19" s="149">
        <v>16</v>
      </c>
      <c r="B19" s="145" t="s">
        <v>13</v>
      </c>
      <c r="C19" s="160"/>
      <c r="D19" s="113"/>
      <c r="E19" s="113"/>
      <c r="F19" s="113"/>
      <c r="G19" s="113"/>
      <c r="H19" s="113"/>
      <c r="I19" s="113"/>
      <c r="J19" s="113"/>
      <c r="K19" s="82"/>
      <c r="L19" s="82"/>
      <c r="M19" s="82"/>
      <c r="N19" s="161"/>
      <c r="O19" s="154">
        <v>0</v>
      </c>
    </row>
    <row r="20" spans="1:15" x14ac:dyDescent="0.25">
      <c r="A20" s="149">
        <v>17</v>
      </c>
      <c r="B20" s="145" t="s">
        <v>14</v>
      </c>
      <c r="C20" s="160">
        <f>35960</f>
        <v>35960</v>
      </c>
      <c r="D20" s="113">
        <f>31740</f>
        <v>31740</v>
      </c>
      <c r="E20" s="113">
        <v>32920</v>
      </c>
      <c r="F20" s="113">
        <v>40100</v>
      </c>
      <c r="G20" s="113">
        <v>37740</v>
      </c>
      <c r="H20" s="113">
        <v>35200</v>
      </c>
      <c r="I20" s="113">
        <v>42700</v>
      </c>
      <c r="J20" s="113">
        <v>34480</v>
      </c>
      <c r="K20" s="82">
        <v>43380</v>
      </c>
      <c r="L20" s="82">
        <v>37780</v>
      </c>
      <c r="M20" s="82">
        <v>34440</v>
      </c>
      <c r="N20" s="161">
        <v>40680</v>
      </c>
      <c r="O20" s="154">
        <f>SUM(Tabla12[[#This Row],[Gener]:[Desembre]])</f>
        <v>447120</v>
      </c>
    </row>
    <row r="21" spans="1:15" x14ac:dyDescent="0.25">
      <c r="A21" s="149">
        <v>18</v>
      </c>
      <c r="B21" s="145" t="s">
        <v>15</v>
      </c>
      <c r="C21" s="160"/>
      <c r="D21" s="113"/>
      <c r="E21" s="113"/>
      <c r="F21" s="113"/>
      <c r="G21" s="113"/>
      <c r="H21" s="113"/>
      <c r="I21" s="113"/>
      <c r="J21" s="113"/>
      <c r="K21" s="82"/>
      <c r="L21" s="82"/>
      <c r="M21" s="82"/>
      <c r="N21" s="161"/>
      <c r="O21" s="154">
        <v>0</v>
      </c>
    </row>
    <row r="22" spans="1:15" x14ac:dyDescent="0.25">
      <c r="A22" s="149">
        <v>19</v>
      </c>
      <c r="B22" s="145" t="s">
        <v>16</v>
      </c>
      <c r="C22" s="160">
        <f>173980+2000</f>
        <v>175980</v>
      </c>
      <c r="D22" s="113">
        <f>5900+149420+1100</f>
        <v>156420</v>
      </c>
      <c r="E22" s="113">
        <f>176040+1260</f>
        <v>177300</v>
      </c>
      <c r="F22" s="113">
        <f>168580+840</f>
        <v>169420</v>
      </c>
      <c r="G22" s="113">
        <f>191460+1240</f>
        <v>192700</v>
      </c>
      <c r="H22" s="113">
        <f>10760+167780+1280</f>
        <v>179820</v>
      </c>
      <c r="I22" s="113">
        <f>193160+1440</f>
        <v>194600</v>
      </c>
      <c r="J22" s="113">
        <f>158680+1020</f>
        <v>159700</v>
      </c>
      <c r="K22" s="82">
        <f>165840+1520+4940</f>
        <v>172300</v>
      </c>
      <c r="L22" s="82">
        <v>176740</v>
      </c>
      <c r="M22" s="82">
        <f>169280</f>
        <v>169280</v>
      </c>
      <c r="N22" s="161">
        <f>174840+1120</f>
        <v>175960</v>
      </c>
      <c r="O22" s="154">
        <f>SUM(Tabla12[[#This Row],[Gener]:[Desembre]])</f>
        <v>2100220</v>
      </c>
    </row>
    <row r="23" spans="1:15" x14ac:dyDescent="0.25">
      <c r="A23" s="149">
        <v>20</v>
      </c>
      <c r="B23" s="145" t="s">
        <v>17</v>
      </c>
      <c r="C23" s="160"/>
      <c r="D23" s="113"/>
      <c r="E23" s="113"/>
      <c r="F23" s="113"/>
      <c r="G23" s="113"/>
      <c r="H23" s="113"/>
      <c r="I23" s="113"/>
      <c r="J23" s="113"/>
      <c r="K23" s="82"/>
      <c r="L23" s="82"/>
      <c r="M23" s="82"/>
      <c r="N23" s="161"/>
      <c r="O23" s="154">
        <v>0</v>
      </c>
    </row>
    <row r="24" spans="1:15" x14ac:dyDescent="0.25">
      <c r="A24" s="149">
        <v>21</v>
      </c>
      <c r="B24" s="145" t="s">
        <v>18</v>
      </c>
      <c r="C24" s="160">
        <f>8017.78</f>
        <v>8017.78</v>
      </c>
      <c r="D24" s="113">
        <f>7172.06</f>
        <v>7172.06</v>
      </c>
      <c r="E24" s="113">
        <v>7639.57</v>
      </c>
      <c r="F24" s="113">
        <v>8246.49</v>
      </c>
      <c r="G24" s="113">
        <v>6642.5</v>
      </c>
      <c r="H24" s="113">
        <v>9174.41</v>
      </c>
      <c r="I24" s="113">
        <v>6304.86</v>
      </c>
      <c r="J24" s="113">
        <v>6729</v>
      </c>
      <c r="K24" s="82">
        <v>4759.05</v>
      </c>
      <c r="L24" s="82">
        <v>5071.6499999999996</v>
      </c>
      <c r="M24" s="82">
        <v>4888.75</v>
      </c>
      <c r="N24" s="161">
        <v>5347.81</v>
      </c>
      <c r="O24" s="154">
        <f>SUM(Tabla12[[#This Row],[Gener]:[Desembre]])</f>
        <v>79993.929999999993</v>
      </c>
    </row>
    <row r="25" spans="1:15" x14ac:dyDescent="0.25">
      <c r="A25" s="149">
        <v>22</v>
      </c>
      <c r="B25" s="145" t="s">
        <v>19</v>
      </c>
      <c r="C25" s="160"/>
      <c r="D25" s="113"/>
      <c r="E25" s="113"/>
      <c r="F25" s="113"/>
      <c r="G25" s="113"/>
      <c r="H25" s="113"/>
      <c r="I25" s="113"/>
      <c r="J25" s="113"/>
      <c r="K25" s="82"/>
      <c r="L25" s="82"/>
      <c r="M25" s="82"/>
      <c r="N25" s="161"/>
      <c r="O25" s="154">
        <f>SUM(Tabla12[[#This Row],[Gener]:[Desembre]])</f>
        <v>0</v>
      </c>
    </row>
    <row r="26" spans="1:15" x14ac:dyDescent="0.25">
      <c r="A26" s="149">
        <v>23</v>
      </c>
      <c r="B26" s="145" t="s">
        <v>43</v>
      </c>
      <c r="C26" s="160"/>
      <c r="D26" s="113"/>
      <c r="E26" s="113"/>
      <c r="F26" s="113"/>
      <c r="G26" s="113"/>
      <c r="H26" s="113"/>
      <c r="I26" s="113"/>
      <c r="J26" s="113"/>
      <c r="K26" s="82"/>
      <c r="L26" s="82"/>
      <c r="M26" s="82"/>
      <c r="N26" s="161"/>
      <c r="O26" s="154">
        <v>0</v>
      </c>
    </row>
    <row r="27" spans="1:15" x14ac:dyDescent="0.25">
      <c r="A27" s="149">
        <v>24</v>
      </c>
      <c r="B27" s="145" t="s">
        <v>44</v>
      </c>
      <c r="C27" s="160">
        <f>48740</f>
        <v>48740</v>
      </c>
      <c r="D27" s="113">
        <f>44600</f>
        <v>44600</v>
      </c>
      <c r="E27" s="113">
        <v>48400</v>
      </c>
      <c r="F27" s="113">
        <v>49640</v>
      </c>
      <c r="G27" s="113">
        <v>52440</v>
      </c>
      <c r="H27" s="113">
        <v>45460</v>
      </c>
      <c r="I27" s="113">
        <v>58560</v>
      </c>
      <c r="J27" s="113">
        <v>45260</v>
      </c>
      <c r="K27" s="82">
        <v>52780</v>
      </c>
      <c r="L27" s="82">
        <v>46920</v>
      </c>
      <c r="M27" s="82">
        <v>46740</v>
      </c>
      <c r="N27" s="161">
        <v>51580</v>
      </c>
      <c r="O27" s="154">
        <f>SUM(Tabla12[[#This Row],[Gener]:[Desembre]])</f>
        <v>591120</v>
      </c>
    </row>
    <row r="28" spans="1:15" x14ac:dyDescent="0.25">
      <c r="A28" s="149">
        <v>25</v>
      </c>
      <c r="B28" s="145" t="s">
        <v>20</v>
      </c>
      <c r="C28" s="160"/>
      <c r="D28" s="113"/>
      <c r="E28" s="113"/>
      <c r="F28" s="113"/>
      <c r="G28" s="113"/>
      <c r="H28" s="113"/>
      <c r="I28" s="113"/>
      <c r="J28" s="113"/>
      <c r="K28" s="82"/>
      <c r="L28" s="82"/>
      <c r="M28" s="82"/>
      <c r="N28" s="161"/>
      <c r="O28" s="154">
        <v>0</v>
      </c>
    </row>
    <row r="29" spans="1:15" x14ac:dyDescent="0.25">
      <c r="A29" s="149">
        <v>26</v>
      </c>
      <c r="B29" s="145" t="s">
        <v>45</v>
      </c>
      <c r="C29" s="160">
        <f>8000</f>
        <v>8000</v>
      </c>
      <c r="D29" s="113">
        <f>7880</f>
        <v>7880</v>
      </c>
      <c r="E29" s="113">
        <v>9540</v>
      </c>
      <c r="F29" s="113">
        <v>8780</v>
      </c>
      <c r="G29" s="113">
        <v>9660</v>
      </c>
      <c r="H29" s="113">
        <v>11260</v>
      </c>
      <c r="I29" s="113">
        <v>9140</v>
      </c>
      <c r="J29" s="113">
        <v>8320</v>
      </c>
      <c r="K29" s="82">
        <v>7120</v>
      </c>
      <c r="L29" s="82">
        <v>7300</v>
      </c>
      <c r="M29" s="82">
        <v>11300</v>
      </c>
      <c r="N29" s="161">
        <v>7980</v>
      </c>
      <c r="O29" s="154">
        <f>SUM(Tabla12[[#This Row],[Gener]:[Desembre]])</f>
        <v>106280</v>
      </c>
    </row>
    <row r="30" spans="1:15" x14ac:dyDescent="0.25">
      <c r="A30" s="149">
        <v>27</v>
      </c>
      <c r="B30" s="145" t="s">
        <v>46</v>
      </c>
      <c r="C30" s="160"/>
      <c r="D30" s="113">
        <f>49460</f>
        <v>49460</v>
      </c>
      <c r="E30" s="113"/>
      <c r="F30" s="113"/>
      <c r="G30" s="113"/>
      <c r="H30" s="113"/>
      <c r="I30" s="113"/>
      <c r="J30" s="113"/>
      <c r="K30" s="82"/>
      <c r="L30" s="82"/>
      <c r="M30" s="82"/>
      <c r="N30" s="161"/>
      <c r="O30" s="154">
        <f>SUM(Tabla12[[#This Row],[Gener]:[Desembre]])</f>
        <v>49460</v>
      </c>
    </row>
    <row r="31" spans="1:15" x14ac:dyDescent="0.25">
      <c r="A31" s="149">
        <v>28</v>
      </c>
      <c r="B31" s="145" t="s">
        <v>47</v>
      </c>
      <c r="C31" s="160"/>
      <c r="D31" s="113"/>
      <c r="E31" s="113"/>
      <c r="F31" s="113"/>
      <c r="G31" s="113"/>
      <c r="H31" s="113"/>
      <c r="I31" s="113"/>
      <c r="J31" s="113"/>
      <c r="K31" s="82"/>
      <c r="L31" s="82"/>
      <c r="M31" s="82"/>
      <c r="N31" s="161"/>
      <c r="O31" s="154">
        <v>0</v>
      </c>
    </row>
    <row r="32" spans="1:15" x14ac:dyDescent="0.25">
      <c r="A32" s="149">
        <v>29</v>
      </c>
      <c r="B32" s="145" t="s">
        <v>48</v>
      </c>
      <c r="C32" s="160">
        <f>1846</f>
        <v>1846</v>
      </c>
      <c r="D32" s="113">
        <f>1243.94</f>
        <v>1243.94</v>
      </c>
      <c r="E32" s="113">
        <v>1391.43</v>
      </c>
      <c r="F32" s="113">
        <v>1649.51</v>
      </c>
      <c r="G32" s="113">
        <v>1511.5</v>
      </c>
      <c r="H32" s="113">
        <v>3050.59</v>
      </c>
      <c r="I32" s="113">
        <v>2509.85</v>
      </c>
      <c r="J32" s="113">
        <v>2021.82</v>
      </c>
      <c r="K32" s="82">
        <v>1711.95</v>
      </c>
      <c r="L32" s="82">
        <v>1772.35</v>
      </c>
      <c r="M32" s="82">
        <v>2004.25</v>
      </c>
      <c r="N32" s="161">
        <v>1881.52</v>
      </c>
      <c r="O32" s="154">
        <f>SUM(Tabla12[[#This Row],[Gener]:[Desembre]])</f>
        <v>22594.71</v>
      </c>
    </row>
    <row r="33" spans="1:17" x14ac:dyDescent="0.25">
      <c r="A33" s="149">
        <v>30</v>
      </c>
      <c r="B33" s="145" t="s">
        <v>50</v>
      </c>
      <c r="C33" s="160">
        <f>27180</f>
        <v>27180</v>
      </c>
      <c r="D33" s="113">
        <f>21300</f>
        <v>21300</v>
      </c>
      <c r="E33" s="113">
        <v>22920</v>
      </c>
      <c r="F33" s="113">
        <v>22480</v>
      </c>
      <c r="G33" s="113">
        <v>28280</v>
      </c>
      <c r="H33" s="113">
        <v>23860</v>
      </c>
      <c r="I33" s="113">
        <v>24000</v>
      </c>
      <c r="J33" s="113">
        <v>29060</v>
      </c>
      <c r="K33" s="82">
        <v>24100</v>
      </c>
      <c r="L33" s="82">
        <v>29420</v>
      </c>
      <c r="M33" s="82">
        <v>22800</v>
      </c>
      <c r="N33" s="161">
        <v>22880</v>
      </c>
      <c r="O33" s="154">
        <f>SUM(Tabla12[[#This Row],[Gener]:[Desembre]])</f>
        <v>298280</v>
      </c>
    </row>
    <row r="34" spans="1:17" x14ac:dyDescent="0.25">
      <c r="A34" s="149">
        <v>31</v>
      </c>
      <c r="B34" s="145" t="s">
        <v>51</v>
      </c>
      <c r="C34" s="160">
        <f>3760</f>
        <v>3760</v>
      </c>
      <c r="D34" s="113">
        <f>4040</f>
        <v>4040</v>
      </c>
      <c r="E34" s="113">
        <v>4360</v>
      </c>
      <c r="F34" s="113">
        <v>3820</v>
      </c>
      <c r="G34" s="113">
        <v>4240</v>
      </c>
      <c r="H34" s="113">
        <v>3840</v>
      </c>
      <c r="I34" s="113">
        <v>3580</v>
      </c>
      <c r="J34" s="113">
        <v>3040</v>
      </c>
      <c r="K34" s="82">
        <v>3600</v>
      </c>
      <c r="L34" s="82">
        <v>3900</v>
      </c>
      <c r="M34" s="82">
        <v>4220</v>
      </c>
      <c r="N34" s="161">
        <v>3660</v>
      </c>
      <c r="O34" s="154">
        <f>SUM(Tabla12[[#This Row],[Gener]:[Desembre]])</f>
        <v>46060</v>
      </c>
    </row>
    <row r="35" spans="1:17" x14ac:dyDescent="0.25">
      <c r="A35" s="149">
        <v>32</v>
      </c>
      <c r="B35" s="145" t="s">
        <v>52</v>
      </c>
      <c r="C35" s="160"/>
      <c r="D35" s="113"/>
      <c r="E35" s="113"/>
      <c r="F35" s="113"/>
      <c r="G35" s="113"/>
      <c r="H35" s="113"/>
      <c r="I35" s="113"/>
      <c r="J35" s="113"/>
      <c r="K35" s="82"/>
      <c r="L35" s="82"/>
      <c r="M35" s="82"/>
      <c r="N35" s="161"/>
      <c r="O35" s="154">
        <v>0</v>
      </c>
    </row>
    <row r="36" spans="1:17" x14ac:dyDescent="0.25">
      <c r="A36" s="149">
        <v>33</v>
      </c>
      <c r="B36" s="145" t="s">
        <v>21</v>
      </c>
      <c r="C36" s="160"/>
      <c r="D36" s="113"/>
      <c r="E36" s="113"/>
      <c r="F36" s="113"/>
      <c r="G36" s="113"/>
      <c r="H36" s="113"/>
      <c r="I36" s="113"/>
      <c r="J36" s="113"/>
      <c r="K36" s="82">
        <v>2880</v>
      </c>
      <c r="L36" s="82">
        <v>2520</v>
      </c>
      <c r="M36" s="82"/>
      <c r="N36" s="161"/>
      <c r="O36" s="154">
        <f>SUM(Tabla12[[#This Row],[Gener]:[Desembre]])</f>
        <v>5400</v>
      </c>
    </row>
    <row r="37" spans="1:17" x14ac:dyDescent="0.25">
      <c r="A37" s="149">
        <v>34</v>
      </c>
      <c r="B37" s="145" t="s">
        <v>22</v>
      </c>
      <c r="C37" s="160">
        <f>71100</f>
        <v>71100</v>
      </c>
      <c r="D37" s="113">
        <f>71260</f>
        <v>71260</v>
      </c>
      <c r="E37" s="113">
        <v>79660</v>
      </c>
      <c r="F37" s="113">
        <v>88320</v>
      </c>
      <c r="G37" s="113">
        <v>91720</v>
      </c>
      <c r="H37" s="113">
        <v>89460</v>
      </c>
      <c r="I37" s="113">
        <v>100700</v>
      </c>
      <c r="J37" s="113">
        <v>96180</v>
      </c>
      <c r="K37" s="82">
        <v>82600</v>
      </c>
      <c r="L37" s="82">
        <v>77337.740000000005</v>
      </c>
      <c r="M37" s="82">
        <v>79440</v>
      </c>
      <c r="N37" s="161">
        <v>84420</v>
      </c>
      <c r="O37" s="154">
        <f>SUM(Tabla12[[#This Row],[Gener]:[Desembre]])</f>
        <v>1012197.74</v>
      </c>
    </row>
    <row r="38" spans="1:17" x14ac:dyDescent="0.25">
      <c r="A38" s="149">
        <v>35</v>
      </c>
      <c r="B38" s="145" t="s">
        <v>23</v>
      </c>
      <c r="C38" s="160"/>
      <c r="D38" s="113"/>
      <c r="E38" s="113"/>
      <c r="F38" s="113"/>
      <c r="G38" s="113"/>
      <c r="H38" s="113"/>
      <c r="I38" s="113"/>
      <c r="J38" s="113"/>
      <c r="K38" s="82"/>
      <c r="L38" s="82"/>
      <c r="M38" s="82"/>
      <c r="N38" s="161"/>
      <c r="O38" s="154">
        <v>0</v>
      </c>
    </row>
    <row r="39" spans="1:17" x14ac:dyDescent="0.25">
      <c r="A39" s="149">
        <v>36</v>
      </c>
      <c r="B39" s="145" t="s">
        <v>24</v>
      </c>
      <c r="C39" s="160">
        <f>24120</f>
        <v>24120</v>
      </c>
      <c r="D39" s="113">
        <f>20040</f>
        <v>20040</v>
      </c>
      <c r="E39" s="113">
        <v>22500</v>
      </c>
      <c r="F39" s="113">
        <v>22100</v>
      </c>
      <c r="G39" s="113">
        <v>23620</v>
      </c>
      <c r="H39" s="113">
        <v>22560</v>
      </c>
      <c r="I39" s="113">
        <v>26920</v>
      </c>
      <c r="J39" s="113">
        <v>21620</v>
      </c>
      <c r="K39" s="82">
        <v>23080</v>
      </c>
      <c r="L39" s="82">
        <v>23982.26</v>
      </c>
      <c r="M39" s="82">
        <v>22020</v>
      </c>
      <c r="N39" s="161">
        <v>24500</v>
      </c>
      <c r="O39" s="154">
        <f>SUM(Tabla12[[#This Row],[Gener]:[Desembre]])</f>
        <v>277062.26</v>
      </c>
    </row>
    <row r="40" spans="1:17" x14ac:dyDescent="0.25">
      <c r="A40" s="149">
        <v>37</v>
      </c>
      <c r="B40" s="145" t="s">
        <v>25</v>
      </c>
      <c r="C40" s="160"/>
      <c r="D40" s="113"/>
      <c r="E40" s="113"/>
      <c r="F40" s="113"/>
      <c r="G40" s="113"/>
      <c r="H40" s="113"/>
      <c r="I40" s="113"/>
      <c r="J40" s="113"/>
      <c r="K40" s="82"/>
      <c r="L40" s="82"/>
      <c r="M40" s="82"/>
      <c r="N40" s="161"/>
      <c r="O40" s="154">
        <v>0</v>
      </c>
    </row>
    <row r="41" spans="1:17" x14ac:dyDescent="0.25">
      <c r="A41" s="149">
        <v>38</v>
      </c>
      <c r="B41" s="145" t="s">
        <v>5</v>
      </c>
      <c r="C41" s="160"/>
      <c r="D41" s="113"/>
      <c r="E41" s="113"/>
      <c r="F41" s="113"/>
      <c r="G41" s="113"/>
      <c r="H41" s="113"/>
      <c r="I41" s="113"/>
      <c r="J41" s="113"/>
      <c r="K41" s="82"/>
      <c r="L41" s="82"/>
      <c r="M41" s="82"/>
      <c r="N41" s="161"/>
      <c r="O41" s="154">
        <v>0</v>
      </c>
    </row>
    <row r="42" spans="1:17" x14ac:dyDescent="0.25">
      <c r="A42" s="149">
        <v>39</v>
      </c>
      <c r="B42" s="145" t="s">
        <v>6</v>
      </c>
      <c r="C42" s="160">
        <f>32560</f>
        <v>32560</v>
      </c>
      <c r="D42" s="113">
        <f>27640</f>
        <v>27640</v>
      </c>
      <c r="E42" s="113">
        <v>31260</v>
      </c>
      <c r="F42" s="113">
        <v>34560</v>
      </c>
      <c r="G42" s="113">
        <v>29480</v>
      </c>
      <c r="H42" s="113">
        <v>34580</v>
      </c>
      <c r="I42" s="113">
        <v>41260</v>
      </c>
      <c r="J42" s="113">
        <v>48740</v>
      </c>
      <c r="K42" s="82">
        <v>37460</v>
      </c>
      <c r="L42" s="82">
        <v>33840</v>
      </c>
      <c r="M42" s="82">
        <v>32660</v>
      </c>
      <c r="N42" s="161">
        <v>37460</v>
      </c>
      <c r="O42" s="154">
        <f>SUM(Tabla12[[#This Row],[Gener]:[Desembre]])</f>
        <v>421500</v>
      </c>
    </row>
    <row r="43" spans="1:17" x14ac:dyDescent="0.25">
      <c r="A43" s="149">
        <v>40</v>
      </c>
      <c r="B43" s="145" t="s">
        <v>8</v>
      </c>
      <c r="C43" s="160"/>
      <c r="D43" s="113"/>
      <c r="E43" s="113"/>
      <c r="F43" s="113"/>
      <c r="G43" s="113"/>
      <c r="H43" s="113"/>
      <c r="I43" s="113"/>
      <c r="J43" s="113"/>
      <c r="K43" s="82"/>
      <c r="L43" s="82"/>
      <c r="M43" s="82"/>
      <c r="N43" s="161"/>
      <c r="O43" s="154">
        <v>0</v>
      </c>
    </row>
    <row r="44" spans="1:17" ht="15.75" thickBot="1" x14ac:dyDescent="0.3">
      <c r="A44" s="150">
        <v>41</v>
      </c>
      <c r="B44" s="146" t="s">
        <v>49</v>
      </c>
      <c r="C44" s="162"/>
      <c r="D44" s="163"/>
      <c r="E44" s="163"/>
      <c r="F44" s="163"/>
      <c r="G44" s="163"/>
      <c r="H44" s="163"/>
      <c r="I44" s="163"/>
      <c r="J44" s="163"/>
      <c r="K44" s="164"/>
      <c r="L44" s="164"/>
      <c r="M44" s="164"/>
      <c r="N44" s="165"/>
      <c r="O44" s="155">
        <f>SUM(Tabla12[[#This Row],[Gener]:[Desembre]])</f>
        <v>0</v>
      </c>
    </row>
    <row r="45" spans="1:17" s="4" customFormat="1" ht="15.75" thickBot="1" x14ac:dyDescent="0.3">
      <c r="B45" s="78" t="s">
        <v>71</v>
      </c>
      <c r="C45" s="79">
        <f>SUBTOTAL(109,Tabla12[Gener])</f>
        <v>1037280.0100000001</v>
      </c>
      <c r="D45" s="80">
        <f>SUBTOTAL(109,Tabla12[Febrer])</f>
        <v>988299</v>
      </c>
      <c r="E45" s="80">
        <f>SUBTOTAL(109,Tabla12[Març])</f>
        <v>1061900</v>
      </c>
      <c r="F45" s="80">
        <f>SUBTOTAL(109,Tabla12[Abril])</f>
        <v>1040420</v>
      </c>
      <c r="G45" s="80">
        <f>SUBTOTAL(109,Tabla12[Maig])</f>
        <v>1131120</v>
      </c>
      <c r="H45" s="80">
        <f>SUBTOTAL(109,Tabla12[Juny])</f>
        <v>1104280</v>
      </c>
      <c r="I45" s="80">
        <f>SUBTOTAL(109,Tabla12[Juliol])</f>
        <v>1196720</v>
      </c>
      <c r="J45" s="80">
        <f>SUBTOTAL(109,Tabla12[Agost])</f>
        <v>1076958.8199999998</v>
      </c>
      <c r="K45" s="80">
        <f>SUBTOTAL(109,Tabla12[Setembre])</f>
        <v>1075740</v>
      </c>
      <c r="L45" s="80">
        <f>SUBTOTAL(109,Tabla12[Octubre])</f>
        <v>1041840</v>
      </c>
      <c r="M45" s="80">
        <f>SUBTOTAL(109,Tabla12[Novembre])</f>
        <v>1021720</v>
      </c>
      <c r="N45" s="80">
        <f>SUBTOTAL(109,Tabla12[Desembre])</f>
        <v>1090399.99</v>
      </c>
      <c r="O45" s="81">
        <f>SUM(C45:N45)</f>
        <v>12866677.82</v>
      </c>
      <c r="P45" s="3"/>
      <c r="Q45" s="243"/>
    </row>
    <row r="46" spans="1:17" ht="15.75" thickBot="1" x14ac:dyDescent="0.3">
      <c r="B46" s="73" t="s">
        <v>58</v>
      </c>
      <c r="C46" s="74">
        <v>1345359</v>
      </c>
      <c r="D46" s="75">
        <v>1082860</v>
      </c>
      <c r="E46" s="75">
        <v>1333560</v>
      </c>
      <c r="F46" s="75">
        <v>1294260</v>
      </c>
      <c r="G46" s="75">
        <v>1317200</v>
      </c>
      <c r="H46" s="75">
        <v>1336220</v>
      </c>
      <c r="I46" s="75">
        <v>1378020</v>
      </c>
      <c r="J46" s="75">
        <v>1325839</v>
      </c>
      <c r="K46" s="75">
        <v>1244100</v>
      </c>
      <c r="L46" s="75">
        <v>1327400</v>
      </c>
      <c r="M46" s="75">
        <v>1140760</v>
      </c>
      <c r="N46" s="76">
        <v>1115400</v>
      </c>
      <c r="O46" s="77">
        <f>SUM(C46:N46)</f>
        <v>15240978</v>
      </c>
    </row>
    <row r="47" spans="1:17" ht="15.75" thickBot="1" x14ac:dyDescent="0.3">
      <c r="B47" s="89" t="s">
        <v>59</v>
      </c>
      <c r="C47" s="90">
        <f t="shared" ref="C47:N47" si="0">(C45/C46)-1</f>
        <v>-0.2289938893633594</v>
      </c>
      <c r="D47" s="90">
        <f t="shared" si="0"/>
        <v>-8.7325231331843445E-2</v>
      </c>
      <c r="E47" s="90">
        <f t="shared" si="0"/>
        <v>-0.20371036923722963</v>
      </c>
      <c r="F47" s="90">
        <f t="shared" si="0"/>
        <v>-0.19612751688223384</v>
      </c>
      <c r="G47" s="90">
        <f t="shared" si="0"/>
        <v>-0.14126935924688733</v>
      </c>
      <c r="H47" s="90">
        <f t="shared" si="0"/>
        <v>-0.17357920102977054</v>
      </c>
      <c r="I47" s="90">
        <f t="shared" si="0"/>
        <v>-0.13156557959971549</v>
      </c>
      <c r="J47" s="90">
        <f t="shared" si="0"/>
        <v>-0.18771523540942769</v>
      </c>
      <c r="K47" s="90">
        <f t="shared" si="0"/>
        <v>-0.13532674222329399</v>
      </c>
      <c r="L47" s="90">
        <f t="shared" si="0"/>
        <v>-0.21512731655868611</v>
      </c>
      <c r="M47" s="90">
        <f t="shared" si="0"/>
        <v>-0.10435148497492897</v>
      </c>
      <c r="N47" s="90">
        <f t="shared" si="0"/>
        <v>-2.2413492917339073E-2</v>
      </c>
      <c r="O47" s="235">
        <f>(O45/O46)-1</f>
        <v>-0.15578397790483001</v>
      </c>
    </row>
    <row r="48" spans="1:17" x14ac:dyDescent="0.25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</row>
    <row r="56" spans="16:16" x14ac:dyDescent="0.25">
      <c r="P56" s="25"/>
    </row>
  </sheetData>
  <pageMargins left="0.19685039370078741" right="0.23622047244094491" top="0.52" bottom="0.2" header="0.19685039370078741" footer="0.16"/>
  <pageSetup paperSize="9" scale="77" orientation="landscape" copies="5" r:id="rId1"/>
  <headerFooter>
    <oddHeader>&amp;L&amp;"Calibri,Normal"&amp;G&amp;C&amp;F&amp;R&amp;"Calibri,Normal"&amp;G</oddHeader>
    <oddFooter>&amp;L&amp;"Calibri,Normal"&amp;D&amp;C&amp;A&amp;R&amp;"Calibri,Normal"&amp;P de &amp;N</oddFooter>
  </headerFooter>
  <drawing r:id="rId2"/>
  <legacyDrawingHF r:id="rId3"/>
  <tableParts count="1">
    <tablePart r:id="rId4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59"/>
  <sheetViews>
    <sheetView showZeros="0" zoomScaleNormal="100" workbookViewId="0">
      <selection activeCell="P55" sqref="P55"/>
    </sheetView>
  </sheetViews>
  <sheetFormatPr baseColWidth="10" defaultColWidth="11.42578125" defaultRowHeight="15" x14ac:dyDescent="0.25"/>
  <cols>
    <col min="1" max="1" width="5.42578125" style="3" bestFit="1" customWidth="1"/>
    <col min="2" max="2" width="26.140625" style="3" bestFit="1" customWidth="1"/>
    <col min="3" max="5" width="11.42578125" style="2"/>
    <col min="6" max="6" width="11.7109375" style="2" customWidth="1"/>
    <col min="7" max="10" width="11.42578125" style="2"/>
    <col min="11" max="11" width="11.85546875" style="2" customWidth="1"/>
    <col min="12" max="12" width="11.42578125" style="2"/>
    <col min="13" max="13" width="12.5703125" style="2" customWidth="1"/>
    <col min="14" max="14" width="12.28515625" style="2" customWidth="1"/>
    <col min="15" max="15" width="11.42578125" style="100"/>
    <col min="16" max="16384" width="11.42578125" style="3"/>
  </cols>
  <sheetData>
    <row r="1" spans="1:15" ht="15.75" x14ac:dyDescent="0.25">
      <c r="B1" s="1" t="s">
        <v>75</v>
      </c>
    </row>
    <row r="2" spans="1:15" ht="15.75" thickBot="1" x14ac:dyDescent="0.3">
      <c r="C2" s="4" t="s">
        <v>56</v>
      </c>
    </row>
    <row r="3" spans="1:15" ht="15.75" thickBot="1" x14ac:dyDescent="0.3">
      <c r="A3" s="8" t="s">
        <v>61</v>
      </c>
      <c r="B3" s="22" t="s">
        <v>57</v>
      </c>
      <c r="C3" s="5" t="s">
        <v>26</v>
      </c>
      <c r="D3" s="6" t="s">
        <v>27</v>
      </c>
      <c r="E3" s="6" t="s">
        <v>28</v>
      </c>
      <c r="F3" s="6" t="s">
        <v>29</v>
      </c>
      <c r="G3" s="6" t="s">
        <v>30</v>
      </c>
      <c r="H3" s="6" t="s">
        <v>31</v>
      </c>
      <c r="I3" s="6" t="s">
        <v>32</v>
      </c>
      <c r="J3" s="6" t="s">
        <v>33</v>
      </c>
      <c r="K3" s="6" t="s">
        <v>34</v>
      </c>
      <c r="L3" s="6" t="s">
        <v>35</v>
      </c>
      <c r="M3" s="6" t="s">
        <v>36</v>
      </c>
      <c r="N3" s="7" t="s">
        <v>37</v>
      </c>
      <c r="O3" s="27" t="s">
        <v>38</v>
      </c>
    </row>
    <row r="4" spans="1:15" x14ac:dyDescent="0.25">
      <c r="A4" s="141">
        <v>1</v>
      </c>
      <c r="B4" s="26" t="s">
        <v>39</v>
      </c>
      <c r="C4" s="114">
        <f>22500</f>
        <v>22500</v>
      </c>
      <c r="D4" s="115">
        <f>22260</f>
        <v>22260</v>
      </c>
      <c r="E4" s="115">
        <v>24800</v>
      </c>
      <c r="F4" s="115">
        <v>29140</v>
      </c>
      <c r="G4" s="115">
        <v>31300</v>
      </c>
      <c r="H4" s="115">
        <v>29780</v>
      </c>
      <c r="I4" s="115">
        <v>32940</v>
      </c>
      <c r="J4" s="115">
        <v>32040</v>
      </c>
      <c r="K4" s="115">
        <v>30300</v>
      </c>
      <c r="L4" s="115">
        <v>26080</v>
      </c>
      <c r="M4" s="115">
        <v>23520</v>
      </c>
      <c r="N4" s="116">
        <v>29940</v>
      </c>
      <c r="O4" s="138">
        <f>SUM(Tabla8[[#This Row],[Gener]:[Desembre]])</f>
        <v>334600</v>
      </c>
    </row>
    <row r="5" spans="1:15" x14ac:dyDescent="0.25">
      <c r="A5" s="142">
        <v>2</v>
      </c>
      <c r="B5" s="23" t="s">
        <v>0</v>
      </c>
      <c r="C5" s="117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9"/>
      <c r="O5" s="139">
        <v>0</v>
      </c>
    </row>
    <row r="6" spans="1:15" x14ac:dyDescent="0.25">
      <c r="A6" s="142">
        <v>3</v>
      </c>
      <c r="B6" s="23" t="s">
        <v>1</v>
      </c>
      <c r="C6" s="117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9"/>
      <c r="O6" s="139">
        <v>0</v>
      </c>
    </row>
    <row r="7" spans="1:15" x14ac:dyDescent="0.25">
      <c r="A7" s="142">
        <v>4</v>
      </c>
      <c r="B7" s="23" t="s">
        <v>2</v>
      </c>
      <c r="C7" s="117">
        <f>6861.17</f>
        <v>6861.17</v>
      </c>
      <c r="D7" s="118">
        <f>5494.01</f>
        <v>5494.01</v>
      </c>
      <c r="E7" s="118">
        <v>6621.91</v>
      </c>
      <c r="F7" s="118">
        <v>5882.23</v>
      </c>
      <c r="G7" s="118">
        <v>6341.45</v>
      </c>
      <c r="H7" s="118">
        <v>4662.1499999999996</v>
      </c>
      <c r="I7" s="118">
        <v>4965.0600000000004</v>
      </c>
      <c r="J7" s="118">
        <v>5783.29</v>
      </c>
      <c r="K7" s="118">
        <v>4631.47</v>
      </c>
      <c r="L7" s="118">
        <v>4891.2</v>
      </c>
      <c r="M7" s="118">
        <v>5409.67</v>
      </c>
      <c r="N7" s="119">
        <v>6293.08</v>
      </c>
      <c r="O7" s="139">
        <f>SUM(Tabla8[[#This Row],[Gener]:[Desembre]])</f>
        <v>67836.689999999988</v>
      </c>
    </row>
    <row r="8" spans="1:15" x14ac:dyDescent="0.25">
      <c r="A8" s="142">
        <v>5</v>
      </c>
      <c r="B8" s="23" t="s">
        <v>3</v>
      </c>
      <c r="C8" s="117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9"/>
      <c r="O8" s="139">
        <v>0</v>
      </c>
    </row>
    <row r="9" spans="1:15" x14ac:dyDescent="0.25">
      <c r="A9" s="142">
        <v>6</v>
      </c>
      <c r="B9" s="23" t="s">
        <v>4</v>
      </c>
      <c r="C9" s="117">
        <f>67080</f>
        <v>67080</v>
      </c>
      <c r="D9" s="118">
        <f>63580</f>
        <v>63580</v>
      </c>
      <c r="E9" s="118">
        <v>75090</v>
      </c>
      <c r="F9" s="118">
        <v>78340</v>
      </c>
      <c r="G9" s="118">
        <v>84160</v>
      </c>
      <c r="H9" s="118">
        <v>84740</v>
      </c>
      <c r="I9" s="118">
        <v>88520</v>
      </c>
      <c r="J9" s="118">
        <v>83280</v>
      </c>
      <c r="K9" s="118">
        <v>77360</v>
      </c>
      <c r="L9" s="118">
        <v>85720</v>
      </c>
      <c r="M9" s="118">
        <v>75500</v>
      </c>
      <c r="N9" s="119">
        <v>85860</v>
      </c>
      <c r="O9" s="139">
        <f>SUM(Tabla8[[#This Row],[Gener]:[Desembre]])</f>
        <v>949230</v>
      </c>
    </row>
    <row r="10" spans="1:15" x14ac:dyDescent="0.25">
      <c r="A10" s="142">
        <v>7</v>
      </c>
      <c r="B10" s="23" t="s">
        <v>60</v>
      </c>
      <c r="C10" s="117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9"/>
      <c r="O10" s="139"/>
    </row>
    <row r="11" spans="1:15" x14ac:dyDescent="0.25">
      <c r="A11" s="142">
        <v>8</v>
      </c>
      <c r="B11" s="23" t="s">
        <v>7</v>
      </c>
      <c r="C11" s="117">
        <f>7181.4</f>
        <v>7181.4</v>
      </c>
      <c r="D11" s="118">
        <f>6110.44</f>
        <v>6110.44</v>
      </c>
      <c r="E11" s="118">
        <v>6416.06</v>
      </c>
      <c r="F11" s="118">
        <v>8807.7099999999991</v>
      </c>
      <c r="G11" s="118">
        <v>5856.77</v>
      </c>
      <c r="H11" s="118">
        <v>8795.2999999999993</v>
      </c>
      <c r="I11" s="118">
        <v>8515.3700000000008</v>
      </c>
      <c r="J11" s="118">
        <v>9887.0300000000007</v>
      </c>
      <c r="K11" s="118">
        <v>7782.62</v>
      </c>
      <c r="L11" s="118">
        <v>9064.33</v>
      </c>
      <c r="M11" s="118">
        <v>9236.4</v>
      </c>
      <c r="N11" s="119">
        <v>10015.51</v>
      </c>
      <c r="O11" s="139">
        <f>SUM(Tabla8[[#This Row],[Gener]:[Desembre]])</f>
        <v>97668.94</v>
      </c>
    </row>
    <row r="12" spans="1:15" x14ac:dyDescent="0.25">
      <c r="A12" s="142">
        <v>9</v>
      </c>
      <c r="B12" s="111" t="s">
        <v>40</v>
      </c>
      <c r="C12" s="117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9"/>
      <c r="O12" s="140">
        <v>0</v>
      </c>
    </row>
    <row r="13" spans="1:15" x14ac:dyDescent="0.25">
      <c r="A13" s="142">
        <v>10</v>
      </c>
      <c r="B13" s="23" t="s">
        <v>41</v>
      </c>
      <c r="C13" s="117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9"/>
      <c r="O13" s="139">
        <v>0</v>
      </c>
    </row>
    <row r="14" spans="1:15" x14ac:dyDescent="0.25">
      <c r="A14" s="142">
        <v>11</v>
      </c>
      <c r="B14" s="23" t="s">
        <v>9</v>
      </c>
      <c r="C14" s="117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9"/>
      <c r="O14" s="139">
        <v>0</v>
      </c>
    </row>
    <row r="15" spans="1:15" x14ac:dyDescent="0.25">
      <c r="A15" s="142">
        <v>12</v>
      </c>
      <c r="B15" s="23" t="s">
        <v>10</v>
      </c>
      <c r="C15" s="117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9"/>
      <c r="O15" s="139">
        <v>0</v>
      </c>
    </row>
    <row r="16" spans="1:15" x14ac:dyDescent="0.25">
      <c r="A16" s="142">
        <v>13</v>
      </c>
      <c r="B16" s="23" t="s">
        <v>42</v>
      </c>
      <c r="C16" s="117">
        <f>26860</f>
        <v>26860</v>
      </c>
      <c r="D16" s="118">
        <f>26060</f>
        <v>26060</v>
      </c>
      <c r="E16" s="118">
        <v>29220</v>
      </c>
      <c r="F16" s="118">
        <v>27260</v>
      </c>
      <c r="G16" s="118">
        <v>35060</v>
      </c>
      <c r="H16" s="118">
        <v>31480</v>
      </c>
      <c r="I16" s="118">
        <v>32780</v>
      </c>
      <c r="J16" s="118">
        <v>24300</v>
      </c>
      <c r="K16" s="118">
        <v>30820</v>
      </c>
      <c r="L16" s="118">
        <v>32100</v>
      </c>
      <c r="M16" s="118">
        <v>29140</v>
      </c>
      <c r="N16" s="119">
        <v>29640</v>
      </c>
      <c r="O16" s="139">
        <f>SUM(Tabla8[[#This Row],[Gener]:[Desembre]])</f>
        <v>354720</v>
      </c>
    </row>
    <row r="17" spans="1:15" x14ac:dyDescent="0.25">
      <c r="A17" s="142">
        <v>14</v>
      </c>
      <c r="B17" s="23" t="s">
        <v>11</v>
      </c>
      <c r="C17" s="117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9"/>
      <c r="O17" s="139">
        <v>0</v>
      </c>
    </row>
    <row r="18" spans="1:15" x14ac:dyDescent="0.25">
      <c r="A18" s="142">
        <v>15</v>
      </c>
      <c r="B18" s="23" t="s">
        <v>12</v>
      </c>
      <c r="C18" s="117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9"/>
      <c r="O18" s="139">
        <v>0</v>
      </c>
    </row>
    <row r="19" spans="1:15" x14ac:dyDescent="0.25">
      <c r="A19" s="142">
        <v>16</v>
      </c>
      <c r="B19" s="23" t="s">
        <v>13</v>
      </c>
      <c r="C19" s="117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9"/>
      <c r="O19" s="139">
        <v>0</v>
      </c>
    </row>
    <row r="20" spans="1:15" x14ac:dyDescent="0.25">
      <c r="A20" s="142">
        <v>17</v>
      </c>
      <c r="B20" s="23" t="s">
        <v>14</v>
      </c>
      <c r="C20" s="117">
        <f>49940</f>
        <v>49940</v>
      </c>
      <c r="D20" s="118">
        <f>45060</f>
        <v>45060</v>
      </c>
      <c r="E20" s="118">
        <v>49360</v>
      </c>
      <c r="F20" s="118">
        <v>49260</v>
      </c>
      <c r="G20" s="118">
        <v>56500</v>
      </c>
      <c r="H20" s="118">
        <v>59200</v>
      </c>
      <c r="I20" s="118">
        <v>57140</v>
      </c>
      <c r="J20" s="118">
        <v>49240</v>
      </c>
      <c r="K20" s="118">
        <f>52140+4060</f>
        <v>56200</v>
      </c>
      <c r="L20" s="118">
        <v>59760</v>
      </c>
      <c r="M20" s="118">
        <v>52960</v>
      </c>
      <c r="N20" s="119">
        <v>56040</v>
      </c>
      <c r="O20" s="139">
        <f>SUM(Tabla8[[#This Row],[Gener]:[Desembre]])</f>
        <v>640660</v>
      </c>
    </row>
    <row r="21" spans="1:15" x14ac:dyDescent="0.25">
      <c r="A21" s="142">
        <v>18</v>
      </c>
      <c r="B21" s="23" t="s">
        <v>15</v>
      </c>
      <c r="C21" s="117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9"/>
      <c r="O21" s="139">
        <v>0</v>
      </c>
    </row>
    <row r="22" spans="1:15" x14ac:dyDescent="0.25">
      <c r="A22" s="142">
        <v>19</v>
      </c>
      <c r="B22" s="23" t="s">
        <v>16</v>
      </c>
      <c r="C22" s="117">
        <f>21220+10160</f>
        <v>31380</v>
      </c>
      <c r="D22" s="118">
        <f>22080+9780</f>
        <v>31860</v>
      </c>
      <c r="E22" s="118">
        <f>25060+11940</f>
        <v>37000</v>
      </c>
      <c r="F22" s="118">
        <f>23280+10340</f>
        <v>33620</v>
      </c>
      <c r="G22" s="118">
        <f>28760+14160</f>
        <v>42920</v>
      </c>
      <c r="H22" s="118">
        <f>25040+11360</f>
        <v>36400</v>
      </c>
      <c r="I22" s="118">
        <f>28040+12500</f>
        <v>40540</v>
      </c>
      <c r="J22" s="118">
        <f>24640+6780</f>
        <v>31420</v>
      </c>
      <c r="K22" s="118">
        <f>29200+11280</f>
        <v>40480</v>
      </c>
      <c r="L22" s="118">
        <v>37500</v>
      </c>
      <c r="M22" s="118">
        <f>25040+11680</f>
        <v>36720</v>
      </c>
      <c r="N22" s="119">
        <f>25420+12120</f>
        <v>37540</v>
      </c>
      <c r="O22" s="139">
        <f>SUM(Tabla8[[#This Row],[Gener]:[Desembre]])</f>
        <v>437380</v>
      </c>
    </row>
    <row r="23" spans="1:15" x14ac:dyDescent="0.25">
      <c r="A23" s="142">
        <v>20</v>
      </c>
      <c r="B23" s="23" t="s">
        <v>17</v>
      </c>
      <c r="C23" s="117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9"/>
      <c r="O23" s="139">
        <v>0</v>
      </c>
    </row>
    <row r="24" spans="1:15" x14ac:dyDescent="0.25">
      <c r="A24" s="142">
        <v>21</v>
      </c>
      <c r="B24" s="23" t="s">
        <v>18</v>
      </c>
      <c r="C24" s="117">
        <f>3679.12</f>
        <v>3679.12</v>
      </c>
      <c r="D24" s="118">
        <f>3292.75</f>
        <v>3292.75</v>
      </c>
      <c r="E24" s="118">
        <v>3524.97</v>
      </c>
      <c r="F24" s="118">
        <v>4764.88</v>
      </c>
      <c r="G24" s="118">
        <v>3301.02</v>
      </c>
      <c r="H24" s="118">
        <v>4075.83</v>
      </c>
      <c r="I24" s="118">
        <v>3844.45</v>
      </c>
      <c r="J24" s="118">
        <v>4807.24</v>
      </c>
      <c r="K24" s="118">
        <v>3276.92</v>
      </c>
      <c r="L24" s="118">
        <v>3982.28</v>
      </c>
      <c r="M24" s="118">
        <v>4436.25</v>
      </c>
      <c r="N24" s="119">
        <v>5039.8999999999996</v>
      </c>
      <c r="O24" s="139">
        <f>SUM(Tabla8[[#This Row],[Gener]:[Desembre]])</f>
        <v>48025.61</v>
      </c>
    </row>
    <row r="25" spans="1:15" x14ac:dyDescent="0.25">
      <c r="A25" s="142">
        <v>22</v>
      </c>
      <c r="B25" s="23" t="s">
        <v>19</v>
      </c>
      <c r="C25" s="117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9"/>
      <c r="O25" s="139">
        <v>0</v>
      </c>
    </row>
    <row r="26" spans="1:15" x14ac:dyDescent="0.25">
      <c r="A26" s="142">
        <v>23</v>
      </c>
      <c r="B26" s="23" t="s">
        <v>43</v>
      </c>
      <c r="C26" s="117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9"/>
      <c r="O26" s="139">
        <v>0</v>
      </c>
    </row>
    <row r="27" spans="1:15" x14ac:dyDescent="0.25">
      <c r="A27" s="142">
        <v>24</v>
      </c>
      <c r="B27" s="23" t="s">
        <v>44</v>
      </c>
      <c r="C27" s="117">
        <f>32440+27160</f>
        <v>59600</v>
      </c>
      <c r="D27" s="118">
        <f>29680+29940</f>
        <v>59620</v>
      </c>
      <c r="E27" s="118">
        <f>36140+36380</f>
        <v>72520</v>
      </c>
      <c r="F27" s="118">
        <f>32520+44400</f>
        <v>76920</v>
      </c>
      <c r="G27" s="118">
        <f>42660+50120</f>
        <v>92780</v>
      </c>
      <c r="H27" s="118">
        <f>38520+47720</f>
        <v>86240</v>
      </c>
      <c r="I27" s="118">
        <f>42800+59860</f>
        <v>102660</v>
      </c>
      <c r="J27" s="118">
        <f>40000+47540</f>
        <v>87540</v>
      </c>
      <c r="K27" s="118">
        <f>37900+51880</f>
        <v>89780</v>
      </c>
      <c r="L27" s="118">
        <v>77080</v>
      </c>
      <c r="M27" s="118">
        <f>35560+35020</f>
        <v>70580</v>
      </c>
      <c r="N27" s="119">
        <f>39880+40640</f>
        <v>80520</v>
      </c>
      <c r="O27" s="139">
        <f>SUM(Tabla8[[#This Row],[Gener]:[Desembre]])</f>
        <v>955840</v>
      </c>
    </row>
    <row r="28" spans="1:15" x14ac:dyDescent="0.25">
      <c r="A28" s="142">
        <v>25</v>
      </c>
      <c r="B28" s="23" t="s">
        <v>20</v>
      </c>
      <c r="C28" s="117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9"/>
      <c r="O28" s="139">
        <v>0</v>
      </c>
    </row>
    <row r="29" spans="1:15" x14ac:dyDescent="0.25">
      <c r="A29" s="142">
        <v>26</v>
      </c>
      <c r="B29" s="23" t="s">
        <v>45</v>
      </c>
      <c r="C29" s="117">
        <f>28320</f>
        <v>28320</v>
      </c>
      <c r="D29" s="118">
        <f>26560</f>
        <v>26560</v>
      </c>
      <c r="E29" s="118">
        <v>29900</v>
      </c>
      <c r="F29" s="118">
        <v>33960</v>
      </c>
      <c r="G29" s="118">
        <v>36760</v>
      </c>
      <c r="H29" s="118">
        <v>32280</v>
      </c>
      <c r="I29" s="118">
        <v>37620</v>
      </c>
      <c r="J29" s="118">
        <v>31900</v>
      </c>
      <c r="K29" s="118">
        <v>34500</v>
      </c>
      <c r="L29" s="118">
        <v>31780</v>
      </c>
      <c r="M29" s="118">
        <v>30840</v>
      </c>
      <c r="N29" s="119">
        <v>31960</v>
      </c>
      <c r="O29" s="139">
        <f>SUM(Tabla8[[#This Row],[Gener]:[Desembre]])</f>
        <v>386380</v>
      </c>
    </row>
    <row r="30" spans="1:15" x14ac:dyDescent="0.25">
      <c r="A30" s="142">
        <v>27</v>
      </c>
      <c r="B30" s="23" t="s">
        <v>46</v>
      </c>
      <c r="C30" s="117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9"/>
      <c r="O30" s="139">
        <f>SUM(Tabla8[[#This Row],[Gener]:[Desembre]])</f>
        <v>0</v>
      </c>
    </row>
    <row r="31" spans="1:15" x14ac:dyDescent="0.25">
      <c r="A31" s="142">
        <v>28</v>
      </c>
      <c r="B31" s="23" t="s">
        <v>47</v>
      </c>
      <c r="C31" s="117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9"/>
      <c r="O31" s="139">
        <v>0</v>
      </c>
    </row>
    <row r="32" spans="1:15" x14ac:dyDescent="0.25">
      <c r="A32" s="142">
        <v>29</v>
      </c>
      <c r="B32" s="23" t="s">
        <v>48</v>
      </c>
      <c r="C32" s="117">
        <f>418.31</f>
        <v>418.31</v>
      </c>
      <c r="D32" s="118">
        <f>822.8</f>
        <v>822.8</v>
      </c>
      <c r="E32" s="118">
        <v>637.07000000000005</v>
      </c>
      <c r="F32" s="118">
        <v>965.17</v>
      </c>
      <c r="G32" s="118">
        <v>500.76</v>
      </c>
      <c r="H32" s="118">
        <v>866.73</v>
      </c>
      <c r="I32" s="118">
        <v>695.15</v>
      </c>
      <c r="J32" s="118">
        <v>702.44</v>
      </c>
      <c r="K32" s="118">
        <v>928.99</v>
      </c>
      <c r="L32" s="118">
        <v>862.19</v>
      </c>
      <c r="M32" s="118">
        <v>697.68</v>
      </c>
      <c r="N32" s="119">
        <v>151.52000000000001</v>
      </c>
      <c r="O32" s="139">
        <f>SUM(Tabla8[[#This Row],[Gener]:[Desembre]])</f>
        <v>8248.8100000000013</v>
      </c>
    </row>
    <row r="33" spans="1:15" x14ac:dyDescent="0.25">
      <c r="A33" s="142">
        <v>30</v>
      </c>
      <c r="B33" s="23" t="s">
        <v>50</v>
      </c>
      <c r="C33" s="117">
        <f>55660</f>
        <v>55660</v>
      </c>
      <c r="D33" s="118">
        <f>51480</f>
        <v>51480</v>
      </c>
      <c r="E33" s="118">
        <v>54160</v>
      </c>
      <c r="F33" s="118">
        <v>52160</v>
      </c>
      <c r="G33" s="118">
        <v>58180</v>
      </c>
      <c r="H33" s="118">
        <v>52420</v>
      </c>
      <c r="I33" s="118">
        <v>62880</v>
      </c>
      <c r="J33" s="118">
        <v>52780</v>
      </c>
      <c r="K33" s="118">
        <v>57760</v>
      </c>
      <c r="L33" s="118">
        <v>53720</v>
      </c>
      <c r="M33" s="118">
        <v>52880</v>
      </c>
      <c r="N33" s="119">
        <v>55840</v>
      </c>
      <c r="O33" s="139">
        <f>SUM(Tabla8[[#This Row],[Gener]:[Desembre]])</f>
        <v>659920</v>
      </c>
    </row>
    <row r="34" spans="1:15" x14ac:dyDescent="0.25">
      <c r="A34" s="142">
        <v>31</v>
      </c>
      <c r="B34" s="23" t="s">
        <v>51</v>
      </c>
      <c r="C34" s="117">
        <f>7680</f>
        <v>7680</v>
      </c>
      <c r="D34" s="118">
        <f>6780</f>
        <v>6780</v>
      </c>
      <c r="E34" s="118">
        <v>7960</v>
      </c>
      <c r="F34" s="118">
        <v>7500</v>
      </c>
      <c r="G34" s="118">
        <v>9500</v>
      </c>
      <c r="H34" s="118">
        <v>8660</v>
      </c>
      <c r="I34" s="118">
        <v>9720</v>
      </c>
      <c r="J34" s="118">
        <v>7600</v>
      </c>
      <c r="K34" s="118">
        <v>8840</v>
      </c>
      <c r="L34" s="118">
        <v>8300</v>
      </c>
      <c r="M34" s="118">
        <v>7800</v>
      </c>
      <c r="N34" s="119">
        <v>8880</v>
      </c>
      <c r="O34" s="139">
        <f>SUM(Tabla8[[#This Row],[Gener]:[Desembre]])</f>
        <v>99220</v>
      </c>
    </row>
    <row r="35" spans="1:15" x14ac:dyDescent="0.25">
      <c r="A35" s="142">
        <v>32</v>
      </c>
      <c r="B35" s="23" t="s">
        <v>52</v>
      </c>
      <c r="C35" s="117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9"/>
      <c r="O35" s="139">
        <v>0</v>
      </c>
    </row>
    <row r="36" spans="1:15" x14ac:dyDescent="0.25">
      <c r="A36" s="142">
        <v>33</v>
      </c>
      <c r="B36" s="23" t="s">
        <v>21</v>
      </c>
      <c r="C36" s="117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9"/>
      <c r="O36" s="139">
        <v>0</v>
      </c>
    </row>
    <row r="37" spans="1:15" x14ac:dyDescent="0.25">
      <c r="A37" s="142">
        <v>34</v>
      </c>
      <c r="B37" s="23" t="s">
        <v>22</v>
      </c>
      <c r="C37" s="117">
        <f>9000.31</f>
        <v>9000.31</v>
      </c>
      <c r="D37" s="118">
        <f>8608.6</f>
        <v>8608.6</v>
      </c>
      <c r="E37" s="118">
        <v>10895.66</v>
      </c>
      <c r="F37" s="118">
        <v>13122.86</v>
      </c>
      <c r="G37" s="118">
        <v>15993.28</v>
      </c>
      <c r="H37" s="118">
        <v>12821.41</v>
      </c>
      <c r="I37" s="118">
        <v>13518.36</v>
      </c>
      <c r="J37" s="118">
        <v>12638.88</v>
      </c>
      <c r="K37" s="118">
        <v>13365.35</v>
      </c>
      <c r="L37" s="118">
        <v>10582.09</v>
      </c>
      <c r="M37" s="118">
        <v>9552.01</v>
      </c>
      <c r="N37" s="119">
        <v>11283.16</v>
      </c>
      <c r="O37" s="139">
        <f>SUM(Tabla8[[#This Row],[Gener]:[Desembre]])</f>
        <v>141381.97</v>
      </c>
    </row>
    <row r="38" spans="1:15" x14ac:dyDescent="0.25">
      <c r="A38" s="142">
        <v>35</v>
      </c>
      <c r="B38" s="23" t="s">
        <v>23</v>
      </c>
      <c r="C38" s="117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9"/>
      <c r="O38" s="139">
        <v>0</v>
      </c>
    </row>
    <row r="39" spans="1:15" x14ac:dyDescent="0.25">
      <c r="A39" s="142">
        <v>36</v>
      </c>
      <c r="B39" s="23" t="s">
        <v>24</v>
      </c>
      <c r="C39" s="117">
        <f>2559.69</f>
        <v>2559.69</v>
      </c>
      <c r="D39" s="118">
        <f>2451.4</f>
        <v>2451.4</v>
      </c>
      <c r="E39" s="118">
        <v>3264.34</v>
      </c>
      <c r="F39" s="118">
        <v>3777.14</v>
      </c>
      <c r="G39" s="118">
        <v>4766.72</v>
      </c>
      <c r="H39" s="118">
        <v>3758.59</v>
      </c>
      <c r="I39" s="118">
        <v>4321.6400000000003</v>
      </c>
      <c r="J39" s="118">
        <v>3341.12</v>
      </c>
      <c r="K39" s="118">
        <v>3834.65</v>
      </c>
      <c r="L39" s="118">
        <v>3777.91</v>
      </c>
      <c r="M39" s="118">
        <v>2647.99</v>
      </c>
      <c r="N39" s="119">
        <v>3376.84</v>
      </c>
      <c r="O39" s="139">
        <f>SUM(Tabla8[[#This Row],[Gener]:[Desembre]])</f>
        <v>41878.03</v>
      </c>
    </row>
    <row r="40" spans="1:15" x14ac:dyDescent="0.25">
      <c r="A40" s="142">
        <v>37</v>
      </c>
      <c r="B40" s="23" t="s">
        <v>25</v>
      </c>
      <c r="C40" s="117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9"/>
      <c r="O40" s="139">
        <v>0</v>
      </c>
    </row>
    <row r="41" spans="1:15" x14ac:dyDescent="0.25">
      <c r="A41" s="142">
        <v>38</v>
      </c>
      <c r="B41" s="23" t="s">
        <v>5</v>
      </c>
      <c r="C41" s="117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9"/>
      <c r="O41" s="139">
        <v>0</v>
      </c>
    </row>
    <row r="42" spans="1:15" x14ac:dyDescent="0.25">
      <c r="A42" s="142">
        <v>39</v>
      </c>
      <c r="B42" s="23" t="s">
        <v>6</v>
      </c>
      <c r="C42" s="117">
        <f>26520</f>
        <v>26520</v>
      </c>
      <c r="D42" s="118">
        <f>22800</f>
        <v>22800</v>
      </c>
      <c r="E42" s="118">
        <v>25920</v>
      </c>
      <c r="F42" s="118">
        <v>27500</v>
      </c>
      <c r="G42" s="118">
        <v>29460</v>
      </c>
      <c r="H42" s="118">
        <v>29760</v>
      </c>
      <c r="I42" s="118">
        <v>32320</v>
      </c>
      <c r="J42" s="118">
        <v>37600</v>
      </c>
      <c r="K42" s="118">
        <v>25240</v>
      </c>
      <c r="L42" s="118">
        <v>27420</v>
      </c>
      <c r="M42" s="118">
        <v>24380</v>
      </c>
      <c r="N42" s="119">
        <v>27220</v>
      </c>
      <c r="O42" s="139">
        <f>SUM(Tabla8[[#This Row],[Gener]:[Desembre]])</f>
        <v>336140</v>
      </c>
    </row>
    <row r="43" spans="1:15" x14ac:dyDescent="0.25">
      <c r="A43" s="142">
        <v>40</v>
      </c>
      <c r="B43" s="23" t="s">
        <v>8</v>
      </c>
      <c r="C43" s="117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9"/>
      <c r="O43" s="139">
        <v>0</v>
      </c>
    </row>
    <row r="44" spans="1:15" ht="15.75" thickBot="1" x14ac:dyDescent="0.3">
      <c r="A44" s="143">
        <v>41</v>
      </c>
      <c r="B44" s="24" t="s">
        <v>49</v>
      </c>
      <c r="C44" s="120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2"/>
      <c r="O44" s="140">
        <f>SUM(Tabla8[[#This Row],[Gener]:[Desembre]])</f>
        <v>0</v>
      </c>
    </row>
    <row r="45" spans="1:15" s="4" customFormat="1" ht="15.75" thickBot="1" x14ac:dyDescent="0.3">
      <c r="A45" s="112"/>
      <c r="B45" s="22" t="s">
        <v>71</v>
      </c>
      <c r="C45" s="16">
        <f t="shared" ref="C45:N45" si="0">SUBTOTAL(109,C4:C44)</f>
        <v>405240</v>
      </c>
      <c r="D45" s="17">
        <f t="shared" si="0"/>
        <v>382840</v>
      </c>
      <c r="E45" s="17">
        <f t="shared" si="0"/>
        <v>437290.01</v>
      </c>
      <c r="F45" s="17">
        <f t="shared" si="0"/>
        <v>452979.99</v>
      </c>
      <c r="G45" s="17">
        <f t="shared" si="0"/>
        <v>513380</v>
      </c>
      <c r="H45" s="17">
        <f t="shared" si="0"/>
        <v>485940.01</v>
      </c>
      <c r="I45" s="17">
        <f t="shared" si="0"/>
        <v>532980.03</v>
      </c>
      <c r="J45" s="17">
        <f>SUBTOTAL(109,J4:J44)</f>
        <v>474860</v>
      </c>
      <c r="K45" s="17">
        <f t="shared" si="0"/>
        <v>485100</v>
      </c>
      <c r="L45" s="17">
        <f t="shared" si="0"/>
        <v>472620</v>
      </c>
      <c r="M45" s="17">
        <f t="shared" si="0"/>
        <v>436300</v>
      </c>
      <c r="N45" s="17">
        <f t="shared" si="0"/>
        <v>479600.01</v>
      </c>
      <c r="O45" s="27">
        <f>SUM(Tabla8[[#This Row],[Gener]:[Desembre]])</f>
        <v>5559130.0499999998</v>
      </c>
    </row>
    <row r="46" spans="1:15" ht="15.75" thickBot="1" x14ac:dyDescent="0.3">
      <c r="A46" s="112"/>
      <c r="B46" s="28" t="s">
        <v>58</v>
      </c>
      <c r="C46" s="29">
        <v>441840</v>
      </c>
      <c r="D46" s="30">
        <v>373740.01</v>
      </c>
      <c r="E46" s="30">
        <v>483000</v>
      </c>
      <c r="F46" s="30">
        <v>516380</v>
      </c>
      <c r="G46" s="30">
        <v>545080.01</v>
      </c>
      <c r="H46" s="30">
        <v>526860</v>
      </c>
      <c r="I46" s="30">
        <v>519200</v>
      </c>
      <c r="J46" s="30">
        <v>484920.00000000006</v>
      </c>
      <c r="K46" s="30">
        <v>466960</v>
      </c>
      <c r="L46" s="30">
        <v>461940</v>
      </c>
      <c r="M46" s="30">
        <v>434380.00000000006</v>
      </c>
      <c r="N46" s="31">
        <v>455420.01</v>
      </c>
      <c r="O46" s="32">
        <f>SUM(Tabla8[[#This Row],[Gener]:[Desembre]])</f>
        <v>5709720.0299999993</v>
      </c>
    </row>
    <row r="47" spans="1:15" ht="15.75" thickBot="1" x14ac:dyDescent="0.3">
      <c r="A47" s="112"/>
      <c r="B47" s="91" t="s">
        <v>59</v>
      </c>
      <c r="C47" s="136">
        <f t="shared" ref="C47:O47" si="1">(C45/C46)-1</f>
        <v>-8.2835415535035262E-2</v>
      </c>
      <c r="D47" s="137">
        <f t="shared" si="1"/>
        <v>2.4348450143188982E-2</v>
      </c>
      <c r="E47" s="137">
        <f t="shared" si="1"/>
        <v>-9.4637660455486494E-2</v>
      </c>
      <c r="F47" s="137">
        <f t="shared" si="1"/>
        <v>-0.12277781866067627</v>
      </c>
      <c r="G47" s="137">
        <f t="shared" si="1"/>
        <v>-5.8156618144921568E-2</v>
      </c>
      <c r="H47" s="137">
        <f t="shared" si="1"/>
        <v>-7.7667672626504203E-2</v>
      </c>
      <c r="I47" s="137">
        <f t="shared" si="1"/>
        <v>2.6540889830508618E-2</v>
      </c>
      <c r="J47" s="137">
        <f t="shared" si="1"/>
        <v>-2.0745690010723572E-2</v>
      </c>
      <c r="K47" s="137">
        <f t="shared" si="1"/>
        <v>3.8847010450573816E-2</v>
      </c>
      <c r="L47" s="137">
        <f t="shared" si="1"/>
        <v>2.3119885699441456E-2</v>
      </c>
      <c r="M47" s="137">
        <f t="shared" si="1"/>
        <v>4.4200930061235599E-3</v>
      </c>
      <c r="N47" s="137">
        <f t="shared" si="1"/>
        <v>5.3093846271708545E-2</v>
      </c>
      <c r="O47" s="236">
        <f t="shared" si="1"/>
        <v>-2.6374319442769467E-2</v>
      </c>
    </row>
    <row r="50" spans="15:16" x14ac:dyDescent="0.25">
      <c r="O50" s="2"/>
    </row>
    <row r="51" spans="15:16" x14ac:dyDescent="0.25">
      <c r="O51" s="2"/>
      <c r="P51" s="20"/>
    </row>
    <row r="52" spans="15:16" x14ac:dyDescent="0.25">
      <c r="P52" s="20"/>
    </row>
    <row r="53" spans="15:16" x14ac:dyDescent="0.25">
      <c r="P53" s="20"/>
    </row>
    <row r="54" spans="15:16" x14ac:dyDescent="0.25">
      <c r="P54" s="20"/>
    </row>
    <row r="55" spans="15:16" x14ac:dyDescent="0.25">
      <c r="P55" s="20"/>
    </row>
    <row r="56" spans="15:16" x14ac:dyDescent="0.25">
      <c r="P56" s="20"/>
    </row>
    <row r="57" spans="15:16" x14ac:dyDescent="0.25">
      <c r="O57" s="4"/>
    </row>
    <row r="58" spans="15:16" x14ac:dyDescent="0.25">
      <c r="O58" s="4"/>
    </row>
    <row r="59" spans="15:16" x14ac:dyDescent="0.25">
      <c r="O59" s="4"/>
    </row>
  </sheetData>
  <sortState xmlns:xlrd2="http://schemas.microsoft.com/office/spreadsheetml/2017/richdata2" ref="B4:O45">
    <sortCondition ref="B4:B45"/>
  </sortState>
  <conditionalFormatting sqref="C47:O47">
    <cfRule type="cellIs" dxfId="0" priority="1" operator="lessThan">
      <formula>0</formula>
    </cfRule>
  </conditionalFormatting>
  <pageMargins left="0.23622047244094491" right="0.23622047244094491" top="0.51" bottom="0.18" header="0.19685039370078741" footer="0.19"/>
  <pageSetup paperSize="9" scale="77" orientation="landscape" copies="5" r:id="rId1"/>
  <headerFooter>
    <oddHeader>&amp;L&amp;"Calibri,Normal"&amp;G&amp;C&amp;"Calibri,Normal"&amp;F&amp;R&amp;"Calibri,Normal"&amp;G</oddHeader>
    <oddFooter>&amp;L&amp;"Calibri,Normal"&amp;D&amp;C&amp;"Calibri,Normal"&amp;A&amp;R&amp;"Calibri,Normal"&amp;P de&amp;N</oddFooter>
  </headerFooter>
  <drawing r:id="rId2"/>
  <legacyDrawingHF r:id="rId3"/>
  <tableParts count="1">
    <tablePart r:id="rId4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52"/>
  <sheetViews>
    <sheetView zoomScale="90" zoomScaleNormal="90" workbookViewId="0">
      <selection activeCell="N41" sqref="N41"/>
    </sheetView>
  </sheetViews>
  <sheetFormatPr baseColWidth="10" defaultRowHeight="15" x14ac:dyDescent="0.25"/>
  <cols>
    <col min="1" max="1" width="5.28515625" customWidth="1"/>
    <col min="2" max="2" width="32.7109375" customWidth="1"/>
    <col min="3" max="14" width="9.85546875" style="61" customWidth="1"/>
    <col min="15" max="15" width="10.28515625" style="62" customWidth="1"/>
    <col min="16" max="1025" width="17" customWidth="1"/>
  </cols>
  <sheetData>
    <row r="1" spans="1:15" ht="15.75" x14ac:dyDescent="0.25">
      <c r="B1" s="58" t="s">
        <v>76</v>
      </c>
      <c r="C1"/>
      <c r="D1"/>
      <c r="E1"/>
      <c r="F1"/>
      <c r="G1"/>
      <c r="H1"/>
      <c r="I1"/>
      <c r="J1"/>
      <c r="K1"/>
      <c r="L1"/>
      <c r="M1"/>
      <c r="N1"/>
      <c r="O1" s="59"/>
    </row>
    <row r="2" spans="1:15" ht="15.75" thickBot="1" x14ac:dyDescent="0.3">
      <c r="C2"/>
      <c r="D2"/>
      <c r="E2"/>
      <c r="F2"/>
      <c r="G2"/>
      <c r="H2"/>
      <c r="I2"/>
      <c r="J2"/>
      <c r="K2"/>
      <c r="L2"/>
      <c r="M2"/>
      <c r="N2"/>
      <c r="O2" s="59"/>
    </row>
    <row r="3" spans="1:15" ht="15.75" thickBot="1" x14ac:dyDescent="0.3">
      <c r="A3" s="126" t="s">
        <v>61</v>
      </c>
      <c r="B3" s="127" t="s">
        <v>57</v>
      </c>
      <c r="C3" s="128" t="s">
        <v>26</v>
      </c>
      <c r="D3" s="124" t="s">
        <v>27</v>
      </c>
      <c r="E3" s="124" t="s">
        <v>28</v>
      </c>
      <c r="F3" s="124" t="s">
        <v>29</v>
      </c>
      <c r="G3" s="124" t="s">
        <v>30</v>
      </c>
      <c r="H3" s="124" t="s">
        <v>31</v>
      </c>
      <c r="I3" s="124" t="s">
        <v>32</v>
      </c>
      <c r="J3" s="124" t="s">
        <v>33</v>
      </c>
      <c r="K3" s="124" t="s">
        <v>34</v>
      </c>
      <c r="L3" s="124" t="s">
        <v>35</v>
      </c>
      <c r="M3" s="124" t="s">
        <v>36</v>
      </c>
      <c r="N3" s="125" t="s">
        <v>37</v>
      </c>
      <c r="O3" s="126" t="s">
        <v>38</v>
      </c>
    </row>
    <row r="4" spans="1:15" x14ac:dyDescent="0.25">
      <c r="A4" s="177">
        <v>1</v>
      </c>
      <c r="B4" s="180" t="s">
        <v>39</v>
      </c>
      <c r="C4" s="184">
        <v>16380</v>
      </c>
      <c r="D4" s="171">
        <v>18360</v>
      </c>
      <c r="E4" s="171">
        <v>19620</v>
      </c>
      <c r="F4" s="172">
        <v>31600</v>
      </c>
      <c r="G4" s="172">
        <v>32200</v>
      </c>
      <c r="H4" s="172">
        <v>33720</v>
      </c>
      <c r="I4" s="172">
        <v>36800</v>
      </c>
      <c r="J4" s="172">
        <v>29600</v>
      </c>
      <c r="K4" s="172">
        <v>34260</v>
      </c>
      <c r="L4" s="172">
        <v>38820</v>
      </c>
      <c r="M4" s="172">
        <v>26700</v>
      </c>
      <c r="N4" s="185">
        <v>35660</v>
      </c>
      <c r="O4" s="190">
        <f>SUM(Tabla911[[#This Row],[Gener]:[Desembre]])</f>
        <v>353720</v>
      </c>
    </row>
    <row r="5" spans="1:15" x14ac:dyDescent="0.25">
      <c r="A5" s="178">
        <v>2</v>
      </c>
      <c r="B5" s="181" t="s">
        <v>0</v>
      </c>
      <c r="C5" s="186"/>
      <c r="D5" s="173"/>
      <c r="E5" s="173"/>
      <c r="F5" s="174"/>
      <c r="G5" s="174"/>
      <c r="H5" s="174"/>
      <c r="I5" s="174"/>
      <c r="J5" s="174"/>
      <c r="K5" s="174"/>
      <c r="L5" s="174"/>
      <c r="M5" s="174"/>
      <c r="N5" s="187"/>
      <c r="O5" s="191"/>
    </row>
    <row r="6" spans="1:15" x14ac:dyDescent="0.25">
      <c r="A6" s="178">
        <v>3</v>
      </c>
      <c r="B6" s="181" t="s">
        <v>1</v>
      </c>
      <c r="C6" s="186"/>
      <c r="D6" s="173"/>
      <c r="E6" s="173"/>
      <c r="F6" s="174"/>
      <c r="G6" s="174"/>
      <c r="H6" s="174"/>
      <c r="I6" s="174"/>
      <c r="J6" s="174"/>
      <c r="K6" s="174"/>
      <c r="L6" s="174"/>
      <c r="M6" s="174"/>
      <c r="N6" s="187"/>
      <c r="O6" s="191"/>
    </row>
    <row r="7" spans="1:15" x14ac:dyDescent="0.25">
      <c r="A7" s="178">
        <v>4</v>
      </c>
      <c r="B7" s="181" t="s">
        <v>2</v>
      </c>
      <c r="C7" s="186"/>
      <c r="D7" s="173"/>
      <c r="E7" s="173"/>
      <c r="F7" s="174"/>
      <c r="G7" s="174"/>
      <c r="H7" s="174"/>
      <c r="I7" s="174"/>
      <c r="J7" s="174"/>
      <c r="K7" s="174"/>
      <c r="L7" s="174"/>
      <c r="M7" s="174"/>
      <c r="N7" s="187"/>
      <c r="O7" s="191"/>
    </row>
    <row r="8" spans="1:15" x14ac:dyDescent="0.25">
      <c r="A8" s="178">
        <v>5</v>
      </c>
      <c r="B8" s="181" t="s">
        <v>3</v>
      </c>
      <c r="C8" s="186"/>
      <c r="D8" s="173"/>
      <c r="E8" s="173"/>
      <c r="F8" s="174"/>
      <c r="G8" s="174"/>
      <c r="H8" s="174"/>
      <c r="I8" s="174"/>
      <c r="J8" s="174"/>
      <c r="K8" s="174"/>
      <c r="L8" s="174"/>
      <c r="M8" s="174"/>
      <c r="N8" s="187"/>
      <c r="O8" s="191"/>
    </row>
    <row r="9" spans="1:15" x14ac:dyDescent="0.25">
      <c r="A9" s="178">
        <v>6</v>
      </c>
      <c r="B9" s="181" t="s">
        <v>4</v>
      </c>
      <c r="C9" s="186"/>
      <c r="D9" s="173"/>
      <c r="E9" s="173"/>
      <c r="F9" s="174"/>
      <c r="G9" s="174"/>
      <c r="H9" s="174"/>
      <c r="I9" s="174"/>
      <c r="J9" s="174"/>
      <c r="K9" s="174"/>
      <c r="L9" s="174"/>
      <c r="M9" s="174"/>
      <c r="N9" s="187"/>
      <c r="O9" s="191"/>
    </row>
    <row r="10" spans="1:15" x14ac:dyDescent="0.25">
      <c r="A10" s="178">
        <v>7</v>
      </c>
      <c r="B10" s="182" t="s">
        <v>60</v>
      </c>
      <c r="C10" s="186"/>
      <c r="D10" s="173"/>
      <c r="E10" s="173"/>
      <c r="F10" s="174"/>
      <c r="G10" s="174"/>
      <c r="H10" s="174"/>
      <c r="I10" s="174"/>
      <c r="J10" s="174"/>
      <c r="K10" s="174"/>
      <c r="L10" s="174"/>
      <c r="M10" s="174"/>
      <c r="N10" s="187"/>
      <c r="O10" s="191"/>
    </row>
    <row r="11" spans="1:15" x14ac:dyDescent="0.25">
      <c r="A11" s="178">
        <v>8</v>
      </c>
      <c r="B11" s="181" t="s">
        <v>7</v>
      </c>
      <c r="C11" s="186"/>
      <c r="D11" s="173"/>
      <c r="E11" s="173"/>
      <c r="F11" s="174"/>
      <c r="G11" s="174"/>
      <c r="H11" s="174"/>
      <c r="I11" s="174"/>
      <c r="J11" s="174"/>
      <c r="K11" s="174"/>
      <c r="L11" s="174"/>
      <c r="M11" s="174"/>
      <c r="N11" s="187"/>
      <c r="O11" s="191"/>
    </row>
    <row r="12" spans="1:15" x14ac:dyDescent="0.25">
      <c r="A12" s="178">
        <v>9</v>
      </c>
      <c r="B12" s="181" t="s">
        <v>40</v>
      </c>
      <c r="C12" s="186"/>
      <c r="D12" s="173"/>
      <c r="E12" s="173"/>
      <c r="F12" s="174"/>
      <c r="G12" s="174"/>
      <c r="H12" s="174"/>
      <c r="I12" s="174"/>
      <c r="J12" s="174"/>
      <c r="K12" s="174"/>
      <c r="L12" s="174"/>
      <c r="M12" s="174"/>
      <c r="N12" s="187"/>
      <c r="O12" s="191"/>
    </row>
    <row r="13" spans="1:15" x14ac:dyDescent="0.25">
      <c r="A13" s="178">
        <v>10</v>
      </c>
      <c r="B13" s="181" t="s">
        <v>41</v>
      </c>
      <c r="C13" s="186"/>
      <c r="D13" s="173"/>
      <c r="E13" s="173"/>
      <c r="F13" s="174"/>
      <c r="G13" s="174"/>
      <c r="H13" s="174"/>
      <c r="I13" s="174"/>
      <c r="J13" s="174"/>
      <c r="K13" s="174"/>
      <c r="L13" s="174"/>
      <c r="M13" s="174"/>
      <c r="N13" s="187"/>
      <c r="O13" s="191"/>
    </row>
    <row r="14" spans="1:15" x14ac:dyDescent="0.25">
      <c r="A14" s="178">
        <v>11</v>
      </c>
      <c r="B14" s="181" t="s">
        <v>9</v>
      </c>
      <c r="C14" s="186"/>
      <c r="D14" s="173"/>
      <c r="E14" s="173"/>
      <c r="F14" s="174"/>
      <c r="G14" s="174"/>
      <c r="H14" s="174"/>
      <c r="I14" s="174"/>
      <c r="J14" s="174"/>
      <c r="K14" s="174"/>
      <c r="L14" s="174"/>
      <c r="M14" s="174"/>
      <c r="N14" s="187"/>
      <c r="O14" s="191"/>
    </row>
    <row r="15" spans="1:15" x14ac:dyDescent="0.25">
      <c r="A15" s="178">
        <v>12</v>
      </c>
      <c r="B15" s="181" t="s">
        <v>10</v>
      </c>
      <c r="C15" s="186"/>
      <c r="D15" s="173"/>
      <c r="E15" s="173"/>
      <c r="F15" s="174"/>
      <c r="G15" s="174"/>
      <c r="H15" s="174"/>
      <c r="I15" s="174"/>
      <c r="J15" s="174"/>
      <c r="K15" s="174"/>
      <c r="L15" s="174"/>
      <c r="M15" s="174"/>
      <c r="N15" s="187"/>
      <c r="O15" s="191"/>
    </row>
    <row r="16" spans="1:15" x14ac:dyDescent="0.25">
      <c r="A16" s="178">
        <v>13</v>
      </c>
      <c r="B16" s="181" t="s">
        <v>42</v>
      </c>
      <c r="C16" s="186"/>
      <c r="D16" s="173"/>
      <c r="E16" s="173"/>
      <c r="F16" s="174"/>
      <c r="G16" s="174"/>
      <c r="H16" s="174"/>
      <c r="I16" s="174"/>
      <c r="J16" s="174"/>
      <c r="K16" s="174"/>
      <c r="L16" s="174"/>
      <c r="M16" s="174"/>
      <c r="N16" s="187"/>
      <c r="O16" s="191"/>
    </row>
    <row r="17" spans="1:15" x14ac:dyDescent="0.25">
      <c r="A17" s="178">
        <v>14</v>
      </c>
      <c r="B17" s="181" t="s">
        <v>11</v>
      </c>
      <c r="C17" s="186"/>
      <c r="D17" s="173"/>
      <c r="E17" s="173"/>
      <c r="F17" s="174"/>
      <c r="G17" s="174"/>
      <c r="H17" s="174"/>
      <c r="I17" s="174"/>
      <c r="J17" s="174"/>
      <c r="K17" s="174"/>
      <c r="L17" s="174"/>
      <c r="M17" s="174"/>
      <c r="N17" s="187"/>
      <c r="O17" s="191"/>
    </row>
    <row r="18" spans="1:15" x14ac:dyDescent="0.25">
      <c r="A18" s="178">
        <v>15</v>
      </c>
      <c r="B18" s="181" t="s">
        <v>12</v>
      </c>
      <c r="C18" s="186"/>
      <c r="D18" s="173"/>
      <c r="E18" s="173"/>
      <c r="F18" s="174"/>
      <c r="G18" s="174"/>
      <c r="H18" s="174"/>
      <c r="I18" s="174"/>
      <c r="J18" s="174"/>
      <c r="K18" s="174"/>
      <c r="L18" s="174"/>
      <c r="M18" s="174"/>
      <c r="N18" s="187"/>
      <c r="O18" s="191"/>
    </row>
    <row r="19" spans="1:15" x14ac:dyDescent="0.25">
      <c r="A19" s="178">
        <v>16</v>
      </c>
      <c r="B19" s="181" t="s">
        <v>13</v>
      </c>
      <c r="C19" s="186"/>
      <c r="D19" s="173"/>
      <c r="E19" s="173"/>
      <c r="F19" s="174"/>
      <c r="G19" s="174"/>
      <c r="H19" s="174"/>
      <c r="I19" s="174"/>
      <c r="J19" s="174"/>
      <c r="K19" s="174"/>
      <c r="L19" s="174"/>
      <c r="M19" s="174"/>
      <c r="N19" s="187"/>
      <c r="O19" s="191"/>
    </row>
    <row r="20" spans="1:15" x14ac:dyDescent="0.25">
      <c r="A20" s="178">
        <v>17</v>
      </c>
      <c r="B20" s="181" t="s">
        <v>14</v>
      </c>
      <c r="C20" s="186"/>
      <c r="D20" s="173"/>
      <c r="E20" s="173"/>
      <c r="F20" s="174"/>
      <c r="G20" s="174"/>
      <c r="H20" s="174"/>
      <c r="I20" s="174"/>
      <c r="J20" s="174"/>
      <c r="K20" s="174"/>
      <c r="L20" s="174"/>
      <c r="M20" s="174"/>
      <c r="N20" s="187"/>
      <c r="O20" s="191"/>
    </row>
    <row r="21" spans="1:15" x14ac:dyDescent="0.25">
      <c r="A21" s="178">
        <v>18</v>
      </c>
      <c r="B21" s="181" t="s">
        <v>15</v>
      </c>
      <c r="C21" s="186"/>
      <c r="D21" s="173"/>
      <c r="E21" s="173"/>
      <c r="F21" s="174"/>
      <c r="G21" s="174"/>
      <c r="H21" s="174"/>
      <c r="I21" s="174"/>
      <c r="J21" s="174"/>
      <c r="K21" s="174"/>
      <c r="L21" s="174"/>
      <c r="M21" s="174"/>
      <c r="N21" s="187"/>
      <c r="O21" s="191"/>
    </row>
    <row r="22" spans="1:15" x14ac:dyDescent="0.25">
      <c r="A22" s="178">
        <v>19</v>
      </c>
      <c r="B22" s="181" t="s">
        <v>16</v>
      </c>
      <c r="C22" s="186"/>
      <c r="D22" s="173"/>
      <c r="E22" s="173"/>
      <c r="F22" s="174"/>
      <c r="G22" s="174"/>
      <c r="H22" s="174"/>
      <c r="I22" s="174"/>
      <c r="J22" s="174"/>
      <c r="K22" s="174"/>
      <c r="L22" s="174"/>
      <c r="M22" s="174"/>
      <c r="N22" s="187"/>
      <c r="O22" s="191"/>
    </row>
    <row r="23" spans="1:15" x14ac:dyDescent="0.25">
      <c r="A23" s="178">
        <v>20</v>
      </c>
      <c r="B23" s="181" t="s">
        <v>17</v>
      </c>
      <c r="C23" s="186"/>
      <c r="D23" s="173"/>
      <c r="E23" s="173"/>
      <c r="F23" s="174"/>
      <c r="G23" s="174"/>
      <c r="H23" s="174"/>
      <c r="I23" s="174"/>
      <c r="J23" s="174"/>
      <c r="K23" s="174"/>
      <c r="L23" s="174"/>
      <c r="M23" s="174"/>
      <c r="N23" s="187"/>
      <c r="O23" s="191"/>
    </row>
    <row r="24" spans="1:15" x14ac:dyDescent="0.25">
      <c r="A24" s="178">
        <v>21</v>
      </c>
      <c r="B24" s="181" t="s">
        <v>18</v>
      </c>
      <c r="C24" s="186"/>
      <c r="D24" s="173"/>
      <c r="E24" s="173"/>
      <c r="F24" s="174"/>
      <c r="G24" s="174"/>
      <c r="H24" s="174"/>
      <c r="I24" s="174"/>
      <c r="J24" s="174"/>
      <c r="K24" s="174"/>
      <c r="L24" s="174"/>
      <c r="M24" s="174"/>
      <c r="N24" s="187"/>
      <c r="O24" s="191"/>
    </row>
    <row r="25" spans="1:15" x14ac:dyDescent="0.25">
      <c r="A25" s="178">
        <v>22</v>
      </c>
      <c r="B25" s="181" t="s">
        <v>19</v>
      </c>
      <c r="C25" s="186"/>
      <c r="D25" s="173"/>
      <c r="E25" s="173"/>
      <c r="F25" s="174"/>
      <c r="G25" s="174"/>
      <c r="H25" s="174"/>
      <c r="I25" s="174"/>
      <c r="J25" s="174"/>
      <c r="K25" s="174"/>
      <c r="L25" s="174"/>
      <c r="M25" s="174"/>
      <c r="N25" s="187"/>
      <c r="O25" s="191"/>
    </row>
    <row r="26" spans="1:15" x14ac:dyDescent="0.25">
      <c r="A26" s="178">
        <v>23</v>
      </c>
      <c r="B26" s="181" t="s">
        <v>43</v>
      </c>
      <c r="C26" s="186"/>
      <c r="D26" s="173"/>
      <c r="E26" s="173"/>
      <c r="F26" s="174"/>
      <c r="G26" s="174"/>
      <c r="H26" s="174"/>
      <c r="I26" s="174"/>
      <c r="J26" s="174"/>
      <c r="K26" s="174"/>
      <c r="L26" s="174"/>
      <c r="M26" s="174"/>
      <c r="N26" s="187"/>
      <c r="O26" s="191"/>
    </row>
    <row r="27" spans="1:15" x14ac:dyDescent="0.25">
      <c r="A27" s="178">
        <v>24</v>
      </c>
      <c r="B27" s="181" t="s">
        <v>44</v>
      </c>
      <c r="C27" s="186"/>
      <c r="D27" s="173"/>
      <c r="E27" s="173"/>
      <c r="F27" s="174"/>
      <c r="G27" s="174"/>
      <c r="H27" s="174"/>
      <c r="I27" s="174"/>
      <c r="J27" s="174"/>
      <c r="K27" s="174"/>
      <c r="L27" s="174"/>
      <c r="M27" s="174"/>
      <c r="N27" s="187"/>
      <c r="O27" s="191"/>
    </row>
    <row r="28" spans="1:15" x14ac:dyDescent="0.25">
      <c r="A28" s="178">
        <v>25</v>
      </c>
      <c r="B28" s="181" t="s">
        <v>20</v>
      </c>
      <c r="C28" s="186"/>
      <c r="D28" s="173"/>
      <c r="E28" s="173"/>
      <c r="F28" s="174"/>
      <c r="G28" s="174"/>
      <c r="H28" s="174"/>
      <c r="I28" s="174"/>
      <c r="J28" s="174"/>
      <c r="K28" s="174"/>
      <c r="L28" s="174"/>
      <c r="M28" s="174"/>
      <c r="N28" s="187"/>
      <c r="O28" s="191"/>
    </row>
    <row r="29" spans="1:15" x14ac:dyDescent="0.25">
      <c r="A29" s="178">
        <v>26</v>
      </c>
      <c r="B29" s="181" t="s">
        <v>45</v>
      </c>
      <c r="C29" s="186"/>
      <c r="D29" s="173"/>
      <c r="E29" s="173"/>
      <c r="F29" s="174"/>
      <c r="G29" s="174"/>
      <c r="H29" s="174"/>
      <c r="I29" s="174"/>
      <c r="J29" s="174"/>
      <c r="K29" s="174"/>
      <c r="L29" s="174"/>
      <c r="M29" s="174"/>
      <c r="N29" s="187"/>
      <c r="O29" s="191"/>
    </row>
    <row r="30" spans="1:15" x14ac:dyDescent="0.25">
      <c r="A30" s="178">
        <v>27</v>
      </c>
      <c r="B30" s="181" t="s">
        <v>46</v>
      </c>
      <c r="C30" s="186"/>
      <c r="D30" s="173"/>
      <c r="E30" s="173"/>
      <c r="F30" s="174"/>
      <c r="G30" s="174"/>
      <c r="H30" s="174"/>
      <c r="I30" s="174"/>
      <c r="J30" s="174"/>
      <c r="K30" s="174"/>
      <c r="L30" s="174"/>
      <c r="M30" s="174"/>
      <c r="N30" s="187"/>
      <c r="O30" s="191"/>
    </row>
    <row r="31" spans="1:15" x14ac:dyDescent="0.25">
      <c r="A31" s="178">
        <v>28</v>
      </c>
      <c r="B31" s="181" t="s">
        <v>47</v>
      </c>
      <c r="C31" s="186"/>
      <c r="D31" s="173"/>
      <c r="E31" s="173"/>
      <c r="F31" s="174"/>
      <c r="G31" s="174"/>
      <c r="H31" s="174"/>
      <c r="I31" s="174"/>
      <c r="J31" s="174"/>
      <c r="K31" s="174"/>
      <c r="L31" s="174"/>
      <c r="M31" s="174"/>
      <c r="N31" s="187"/>
      <c r="O31" s="191"/>
    </row>
    <row r="32" spans="1:15" x14ac:dyDescent="0.25">
      <c r="A32" s="178">
        <v>29</v>
      </c>
      <c r="B32" s="181" t="s">
        <v>48</v>
      </c>
      <c r="C32" s="186"/>
      <c r="D32" s="173"/>
      <c r="E32" s="173"/>
      <c r="F32" s="174"/>
      <c r="G32" s="174"/>
      <c r="H32" s="174"/>
      <c r="I32" s="174"/>
      <c r="J32" s="174"/>
      <c r="K32" s="174"/>
      <c r="L32" s="174"/>
      <c r="M32" s="174"/>
      <c r="N32" s="187"/>
      <c r="O32" s="191"/>
    </row>
    <row r="33" spans="1:15" x14ac:dyDescent="0.25">
      <c r="A33" s="178">
        <v>30</v>
      </c>
      <c r="B33" s="181" t="s">
        <v>50</v>
      </c>
      <c r="C33" s="186">
        <v>8460</v>
      </c>
      <c r="D33" s="173">
        <v>5860</v>
      </c>
      <c r="E33" s="173">
        <v>8020</v>
      </c>
      <c r="F33" s="174">
        <v>7900</v>
      </c>
      <c r="G33" s="174">
        <v>8860</v>
      </c>
      <c r="H33" s="174">
        <v>12520</v>
      </c>
      <c r="I33" s="174">
        <v>10780</v>
      </c>
      <c r="J33" s="174">
        <v>15420</v>
      </c>
      <c r="K33" s="174">
        <v>10600</v>
      </c>
      <c r="L33" s="174">
        <v>9380</v>
      </c>
      <c r="M33" s="174">
        <v>11400</v>
      </c>
      <c r="N33" s="187">
        <v>12520</v>
      </c>
      <c r="O33" s="191">
        <f>SUM(Tabla911[[#This Row],[Gener]:[Desembre]])</f>
        <v>121720</v>
      </c>
    </row>
    <row r="34" spans="1:15" x14ac:dyDescent="0.25">
      <c r="A34" s="178">
        <v>31</v>
      </c>
      <c r="B34" s="181" t="s">
        <v>51</v>
      </c>
      <c r="C34" s="186"/>
      <c r="D34" s="173"/>
      <c r="E34" s="173"/>
      <c r="F34" s="174"/>
      <c r="G34" s="174"/>
      <c r="H34" s="174"/>
      <c r="I34" s="174"/>
      <c r="J34" s="174"/>
      <c r="K34" s="174"/>
      <c r="L34" s="174"/>
      <c r="M34" s="174"/>
      <c r="N34" s="187"/>
      <c r="O34" s="191"/>
    </row>
    <row r="35" spans="1:15" x14ac:dyDescent="0.25">
      <c r="A35" s="178">
        <v>32</v>
      </c>
      <c r="B35" s="181" t="s">
        <v>52</v>
      </c>
      <c r="C35" s="186"/>
      <c r="D35" s="173"/>
      <c r="E35" s="173"/>
      <c r="F35" s="174"/>
      <c r="G35" s="174"/>
      <c r="H35" s="174"/>
      <c r="I35" s="174"/>
      <c r="J35" s="174"/>
      <c r="K35" s="174"/>
      <c r="L35" s="174"/>
      <c r="M35" s="174"/>
      <c r="N35" s="187"/>
      <c r="O35" s="191"/>
    </row>
    <row r="36" spans="1:15" x14ac:dyDescent="0.25">
      <c r="A36" s="178">
        <v>33</v>
      </c>
      <c r="B36" s="181" t="s">
        <v>21</v>
      </c>
      <c r="C36" s="186"/>
      <c r="D36" s="173"/>
      <c r="E36" s="173"/>
      <c r="F36" s="174"/>
      <c r="G36" s="174"/>
      <c r="H36" s="174"/>
      <c r="I36" s="219"/>
      <c r="J36" s="219"/>
      <c r="K36" s="174"/>
      <c r="L36" s="174"/>
      <c r="M36" s="174"/>
      <c r="N36" s="187"/>
      <c r="O36" s="191"/>
    </row>
    <row r="37" spans="1:15" x14ac:dyDescent="0.25">
      <c r="A37" s="178">
        <v>34</v>
      </c>
      <c r="B37" s="181" t="s">
        <v>22</v>
      </c>
      <c r="C37" s="186"/>
      <c r="D37" s="173"/>
      <c r="E37" s="173"/>
      <c r="F37" s="174"/>
      <c r="G37" s="174"/>
      <c r="H37" s="174"/>
      <c r="I37" s="174"/>
      <c r="J37" s="174"/>
      <c r="K37" s="174"/>
      <c r="L37" s="174"/>
      <c r="M37" s="174"/>
      <c r="N37" s="187"/>
      <c r="O37" s="191"/>
    </row>
    <row r="38" spans="1:15" x14ac:dyDescent="0.25">
      <c r="A38" s="178">
        <v>35</v>
      </c>
      <c r="B38" s="181" t="s">
        <v>23</v>
      </c>
      <c r="C38" s="186"/>
      <c r="D38" s="173"/>
      <c r="E38" s="173"/>
      <c r="F38" s="174"/>
      <c r="G38" s="174"/>
      <c r="H38" s="174"/>
      <c r="I38" s="174"/>
      <c r="J38" s="174"/>
      <c r="K38" s="174"/>
      <c r="L38" s="174"/>
      <c r="M38" s="174"/>
      <c r="N38" s="187"/>
      <c r="O38" s="191"/>
    </row>
    <row r="39" spans="1:15" x14ac:dyDescent="0.25">
      <c r="A39" s="178">
        <v>36</v>
      </c>
      <c r="B39" s="181" t="s">
        <v>24</v>
      </c>
      <c r="C39" s="186"/>
      <c r="D39" s="173"/>
      <c r="E39" s="173"/>
      <c r="F39" s="174"/>
      <c r="G39" s="174"/>
      <c r="H39" s="174"/>
      <c r="I39" s="174"/>
      <c r="J39" s="174"/>
      <c r="K39" s="174"/>
      <c r="L39" s="174"/>
      <c r="M39" s="174"/>
      <c r="N39" s="187"/>
      <c r="O39" s="191"/>
    </row>
    <row r="40" spans="1:15" x14ac:dyDescent="0.25">
      <c r="A40" s="178">
        <v>37</v>
      </c>
      <c r="B40" s="181" t="s">
        <v>25</v>
      </c>
      <c r="C40" s="186">
        <v>700</v>
      </c>
      <c r="D40" s="173">
        <v>640</v>
      </c>
      <c r="E40" s="173">
        <v>1640</v>
      </c>
      <c r="F40" s="174">
        <v>1340</v>
      </c>
      <c r="G40" s="174">
        <v>2420</v>
      </c>
      <c r="H40" s="174">
        <v>3600</v>
      </c>
      <c r="I40" s="174">
        <v>1760</v>
      </c>
      <c r="J40" s="174">
        <v>1660</v>
      </c>
      <c r="K40" s="174">
        <v>2800</v>
      </c>
      <c r="L40" s="174">
        <v>1600</v>
      </c>
      <c r="M40" s="174">
        <v>2560</v>
      </c>
      <c r="N40" s="187">
        <v>2620</v>
      </c>
      <c r="O40" s="191">
        <f>SUM(Tabla911[[#This Row],[Gener]:[Desembre]])</f>
        <v>23340</v>
      </c>
    </row>
    <row r="41" spans="1:15" x14ac:dyDescent="0.25">
      <c r="A41" s="178">
        <v>38</v>
      </c>
      <c r="B41" s="181" t="s">
        <v>5</v>
      </c>
      <c r="C41" s="186"/>
      <c r="D41" s="173"/>
      <c r="E41" s="173"/>
      <c r="F41" s="174"/>
      <c r="G41" s="174"/>
      <c r="H41" s="174"/>
      <c r="I41" s="174"/>
      <c r="J41" s="174"/>
      <c r="K41" s="174"/>
      <c r="L41" s="174"/>
      <c r="M41" s="174"/>
      <c r="N41" s="187"/>
      <c r="O41" s="191"/>
    </row>
    <row r="42" spans="1:15" x14ac:dyDescent="0.25">
      <c r="A42" s="178">
        <v>39</v>
      </c>
      <c r="B42" s="181" t="s">
        <v>6</v>
      </c>
      <c r="C42" s="186"/>
      <c r="D42" s="173"/>
      <c r="E42" s="173"/>
      <c r="F42" s="174"/>
      <c r="G42" s="174"/>
      <c r="H42" s="174"/>
      <c r="I42" s="174"/>
      <c r="J42" s="174"/>
      <c r="K42" s="174"/>
      <c r="L42" s="174"/>
      <c r="M42" s="174"/>
      <c r="N42" s="187"/>
      <c r="O42" s="191"/>
    </row>
    <row r="43" spans="1:15" x14ac:dyDescent="0.25">
      <c r="A43" s="178">
        <v>40</v>
      </c>
      <c r="B43" s="181" t="s">
        <v>8</v>
      </c>
      <c r="C43" s="186"/>
      <c r="D43" s="173"/>
      <c r="E43" s="173"/>
      <c r="F43" s="174"/>
      <c r="G43" s="174"/>
      <c r="H43" s="174"/>
      <c r="I43" s="219"/>
      <c r="J43" s="219"/>
      <c r="K43" s="174"/>
      <c r="L43" s="174"/>
      <c r="M43" s="174"/>
      <c r="N43" s="187"/>
      <c r="O43" s="191"/>
    </row>
    <row r="44" spans="1:15" ht="15.75" thickBot="1" x14ac:dyDescent="0.3">
      <c r="A44" s="179">
        <v>41</v>
      </c>
      <c r="B44" s="183" t="s">
        <v>49</v>
      </c>
      <c r="C44" s="188"/>
      <c r="D44" s="175"/>
      <c r="E44" s="175"/>
      <c r="F44" s="176"/>
      <c r="G44" s="176"/>
      <c r="H44" s="176"/>
      <c r="I44" s="176"/>
      <c r="J44" s="176"/>
      <c r="K44" s="176"/>
      <c r="L44" s="176"/>
      <c r="M44" s="176"/>
      <c r="N44" s="189"/>
      <c r="O44" s="192"/>
    </row>
    <row r="45" spans="1:15" s="59" customFormat="1" ht="15.75" thickBot="1" x14ac:dyDescent="0.3">
      <c r="A45" s="60"/>
      <c r="B45" s="168" t="s">
        <v>71</v>
      </c>
      <c r="C45" s="169">
        <f t="shared" ref="C45:N45" si="0">SUBTOTAL(109,C4:C44)</f>
        <v>25540</v>
      </c>
      <c r="D45" s="170">
        <f t="shared" si="0"/>
        <v>24860</v>
      </c>
      <c r="E45" s="170">
        <f t="shared" si="0"/>
        <v>29280</v>
      </c>
      <c r="F45" s="170">
        <f t="shared" si="0"/>
        <v>40840</v>
      </c>
      <c r="G45" s="170">
        <f t="shared" si="0"/>
        <v>43480</v>
      </c>
      <c r="H45" s="170">
        <f t="shared" si="0"/>
        <v>49840</v>
      </c>
      <c r="I45" s="170">
        <f t="shared" si="0"/>
        <v>49340</v>
      </c>
      <c r="J45" s="170">
        <f t="shared" si="0"/>
        <v>46680</v>
      </c>
      <c r="K45" s="170">
        <f t="shared" si="0"/>
        <v>47660</v>
      </c>
      <c r="L45" s="170">
        <f t="shared" si="0"/>
        <v>49800</v>
      </c>
      <c r="M45" s="170">
        <f t="shared" si="0"/>
        <v>40660</v>
      </c>
      <c r="N45" s="170">
        <f t="shared" si="0"/>
        <v>50800</v>
      </c>
      <c r="O45" s="123">
        <f>SUBTOTAL(109,O4:O44)</f>
        <v>498780</v>
      </c>
    </row>
    <row r="52" spans="16:16" x14ac:dyDescent="0.25">
      <c r="P52" s="63"/>
    </row>
  </sheetData>
  <pageMargins left="0.70866141732283472" right="0.70866141732283472" top="0.62" bottom="0.6" header="0.19685039370078741" footer="0.31496062992125984"/>
  <pageSetup paperSize="9" scale="75" orientation="landscape" r:id="rId1"/>
  <headerFooter>
    <oddHeader>&amp;L&amp;"Calibri,Normal"&amp;G&amp;C&amp;"Calibri,Normal"&amp;F&amp;R&amp;"Calibri,Normal"&amp;G</oddHeader>
    <oddFooter>&amp;L&amp;"Calibri,Normal"&amp;D&amp;C&amp;"Calibri,Normal"&amp;A&amp;R&amp;"Calibri,Normal"&amp;P de &amp;N</oddFooter>
  </headerFooter>
  <legacyDrawingHF r:id="rId2"/>
  <tableParts count="1"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51"/>
  <sheetViews>
    <sheetView zoomScale="90" zoomScaleNormal="90" workbookViewId="0">
      <selection activeCell="N38" sqref="N38"/>
    </sheetView>
  </sheetViews>
  <sheetFormatPr baseColWidth="10" defaultColWidth="11.5703125" defaultRowHeight="15" x14ac:dyDescent="0.25"/>
  <cols>
    <col min="1" max="1" width="8.7109375" style="65" customWidth="1"/>
    <col min="2" max="2" width="25.85546875" style="65" bestFit="1" customWidth="1"/>
    <col min="3" max="14" width="10.7109375" style="68" customWidth="1"/>
    <col min="15" max="15" width="10.7109375" style="69" customWidth="1"/>
    <col min="16" max="1025" width="17" style="65" customWidth="1"/>
    <col min="1026" max="16384" width="11.5703125" style="65"/>
  </cols>
  <sheetData>
    <row r="1" spans="1:15" ht="15.75" x14ac:dyDescent="0.25">
      <c r="B1" s="64" t="s">
        <v>77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6"/>
    </row>
    <row r="2" spans="1:15" ht="15.75" thickBot="1" x14ac:dyDescent="0.3"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6"/>
    </row>
    <row r="3" spans="1:15" ht="15.75" thickBot="1" x14ac:dyDescent="0.3">
      <c r="A3" s="201" t="s">
        <v>61</v>
      </c>
      <c r="B3" s="130" t="s">
        <v>57</v>
      </c>
      <c r="C3" s="205" t="s">
        <v>26</v>
      </c>
      <c r="D3" s="193" t="s">
        <v>27</v>
      </c>
      <c r="E3" s="193" t="s">
        <v>28</v>
      </c>
      <c r="F3" s="193" t="s">
        <v>29</v>
      </c>
      <c r="G3" s="193" t="s">
        <v>30</v>
      </c>
      <c r="H3" s="193" t="s">
        <v>31</v>
      </c>
      <c r="I3" s="193" t="s">
        <v>32</v>
      </c>
      <c r="J3" s="193" t="s">
        <v>33</v>
      </c>
      <c r="K3" s="193" t="s">
        <v>34</v>
      </c>
      <c r="L3" s="193" t="s">
        <v>35</v>
      </c>
      <c r="M3" s="193" t="s">
        <v>36</v>
      </c>
      <c r="N3" s="194" t="s">
        <v>37</v>
      </c>
      <c r="O3" s="131" t="s">
        <v>38</v>
      </c>
    </row>
    <row r="4" spans="1:15" x14ac:dyDescent="0.25">
      <c r="A4" s="202">
        <v>1</v>
      </c>
      <c r="B4" s="209" t="s">
        <v>39</v>
      </c>
      <c r="C4" s="206">
        <v>6560</v>
      </c>
      <c r="D4" s="195">
        <v>5520</v>
      </c>
      <c r="E4" s="195">
        <v>6560</v>
      </c>
      <c r="F4" s="195">
        <v>6300</v>
      </c>
      <c r="G4" s="195">
        <v>9080</v>
      </c>
      <c r="H4" s="195">
        <v>4760</v>
      </c>
      <c r="I4" s="195">
        <v>6680</v>
      </c>
      <c r="J4" s="195">
        <v>9960</v>
      </c>
      <c r="K4" s="195">
        <v>10700</v>
      </c>
      <c r="L4" s="195">
        <v>12000</v>
      </c>
      <c r="M4" s="195">
        <v>6920</v>
      </c>
      <c r="N4" s="195">
        <v>8360</v>
      </c>
      <c r="O4" s="196">
        <f>SUM(Tabla91112[[#This Row],[Gener]:[Desembre]])</f>
        <v>93400</v>
      </c>
    </row>
    <row r="5" spans="1:15" x14ac:dyDescent="0.25">
      <c r="A5" s="203">
        <v>2</v>
      </c>
      <c r="B5" s="210" t="s">
        <v>0</v>
      </c>
      <c r="C5" s="20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8"/>
    </row>
    <row r="6" spans="1:15" x14ac:dyDescent="0.25">
      <c r="A6" s="203">
        <v>3</v>
      </c>
      <c r="B6" s="210" t="s">
        <v>1</v>
      </c>
      <c r="C6" s="20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8"/>
    </row>
    <row r="7" spans="1:15" x14ac:dyDescent="0.25">
      <c r="A7" s="203">
        <v>4</v>
      </c>
      <c r="B7" s="210" t="s">
        <v>2</v>
      </c>
      <c r="C7" s="207"/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8"/>
    </row>
    <row r="8" spans="1:15" x14ac:dyDescent="0.25">
      <c r="A8" s="203">
        <v>5</v>
      </c>
      <c r="B8" s="210" t="s">
        <v>3</v>
      </c>
      <c r="C8" s="207"/>
      <c r="D8" s="197"/>
      <c r="E8" s="197"/>
      <c r="F8" s="197"/>
      <c r="G8" s="197"/>
      <c r="H8" s="197"/>
      <c r="I8" s="197"/>
      <c r="J8" s="197"/>
      <c r="K8" s="197"/>
      <c r="L8" s="197"/>
      <c r="M8" s="197"/>
      <c r="N8" s="197"/>
      <c r="O8" s="198"/>
    </row>
    <row r="9" spans="1:15" x14ac:dyDescent="0.25">
      <c r="A9" s="203">
        <v>6</v>
      </c>
      <c r="B9" s="210" t="s">
        <v>4</v>
      </c>
      <c r="C9" s="207"/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8"/>
    </row>
    <row r="10" spans="1:15" x14ac:dyDescent="0.25">
      <c r="A10" s="203">
        <v>7</v>
      </c>
      <c r="B10" s="210" t="s">
        <v>60</v>
      </c>
      <c r="C10" s="207"/>
      <c r="D10" s="197"/>
      <c r="E10" s="197"/>
      <c r="F10" s="197"/>
      <c r="G10" s="197"/>
      <c r="H10" s="197"/>
      <c r="I10" s="197"/>
      <c r="J10" s="197"/>
      <c r="K10" s="197"/>
      <c r="L10" s="197"/>
      <c r="M10" s="197"/>
      <c r="N10" s="197"/>
      <c r="O10" s="198"/>
    </row>
    <row r="11" spans="1:15" x14ac:dyDescent="0.25">
      <c r="A11" s="203">
        <v>8</v>
      </c>
      <c r="B11" s="210" t="s">
        <v>7</v>
      </c>
      <c r="C11" s="207"/>
      <c r="D11" s="197"/>
      <c r="E11" s="197"/>
      <c r="F11" s="197"/>
      <c r="G11" s="197"/>
      <c r="H11" s="197"/>
      <c r="I11" s="197"/>
      <c r="J11" s="197"/>
      <c r="K11" s="197"/>
      <c r="L11" s="197"/>
      <c r="M11" s="197"/>
      <c r="N11" s="197"/>
      <c r="O11" s="198"/>
    </row>
    <row r="12" spans="1:15" x14ac:dyDescent="0.25">
      <c r="A12" s="203">
        <v>9</v>
      </c>
      <c r="B12" s="210" t="s">
        <v>40</v>
      </c>
      <c r="C12" s="207"/>
      <c r="D12" s="197"/>
      <c r="E12" s="197"/>
      <c r="F12" s="197"/>
      <c r="G12" s="197"/>
      <c r="H12" s="197"/>
      <c r="I12" s="197"/>
      <c r="J12" s="197"/>
      <c r="K12" s="197"/>
      <c r="L12" s="197"/>
      <c r="M12" s="197"/>
      <c r="N12" s="197"/>
      <c r="O12" s="198"/>
    </row>
    <row r="13" spans="1:15" x14ac:dyDescent="0.25">
      <c r="A13" s="203">
        <v>10</v>
      </c>
      <c r="B13" s="210" t="s">
        <v>41</v>
      </c>
      <c r="C13" s="207"/>
      <c r="D13" s="197"/>
      <c r="E13" s="197"/>
      <c r="F13" s="197"/>
      <c r="G13" s="197"/>
      <c r="H13" s="197"/>
      <c r="I13" s="197"/>
      <c r="J13" s="197"/>
      <c r="K13" s="197"/>
      <c r="L13" s="197"/>
      <c r="M13" s="197"/>
      <c r="N13" s="197"/>
      <c r="O13" s="198"/>
    </row>
    <row r="14" spans="1:15" x14ac:dyDescent="0.25">
      <c r="A14" s="203">
        <v>11</v>
      </c>
      <c r="B14" s="210" t="s">
        <v>9</v>
      </c>
      <c r="C14" s="207"/>
      <c r="D14" s="197"/>
      <c r="E14" s="197"/>
      <c r="F14" s="197"/>
      <c r="G14" s="197"/>
      <c r="H14" s="197"/>
      <c r="I14" s="197"/>
      <c r="J14" s="197"/>
      <c r="K14" s="197"/>
      <c r="L14" s="197"/>
      <c r="M14" s="197"/>
      <c r="N14" s="197"/>
      <c r="O14" s="198"/>
    </row>
    <row r="15" spans="1:15" x14ac:dyDescent="0.25">
      <c r="A15" s="203">
        <v>12</v>
      </c>
      <c r="B15" s="210" t="s">
        <v>10</v>
      </c>
      <c r="C15" s="207"/>
      <c r="D15" s="197"/>
      <c r="E15" s="197"/>
      <c r="F15" s="197"/>
      <c r="G15" s="197"/>
      <c r="H15" s="197"/>
      <c r="I15" s="197"/>
      <c r="J15" s="197"/>
      <c r="K15" s="197"/>
      <c r="L15" s="197"/>
      <c r="M15" s="197"/>
      <c r="N15" s="197"/>
      <c r="O15" s="198"/>
    </row>
    <row r="16" spans="1:15" x14ac:dyDescent="0.25">
      <c r="A16" s="203">
        <v>13</v>
      </c>
      <c r="B16" s="210" t="s">
        <v>42</v>
      </c>
      <c r="C16" s="207"/>
      <c r="D16" s="197"/>
      <c r="E16" s="197"/>
      <c r="F16" s="197"/>
      <c r="G16" s="197"/>
      <c r="H16" s="197"/>
      <c r="I16" s="197"/>
      <c r="J16" s="197"/>
      <c r="K16" s="197"/>
      <c r="L16" s="197"/>
      <c r="M16" s="197"/>
      <c r="N16" s="197"/>
      <c r="O16" s="198"/>
    </row>
    <row r="17" spans="1:15" x14ac:dyDescent="0.25">
      <c r="A17" s="203">
        <v>14</v>
      </c>
      <c r="B17" s="210" t="s">
        <v>11</v>
      </c>
      <c r="C17" s="207"/>
      <c r="D17" s="197"/>
      <c r="E17" s="197"/>
      <c r="F17" s="197"/>
      <c r="G17" s="197"/>
      <c r="H17" s="197"/>
      <c r="I17" s="197"/>
      <c r="J17" s="197"/>
      <c r="K17" s="197"/>
      <c r="L17" s="197"/>
      <c r="M17" s="197"/>
      <c r="N17" s="197"/>
      <c r="O17" s="198"/>
    </row>
    <row r="18" spans="1:15" x14ac:dyDescent="0.25">
      <c r="A18" s="203">
        <v>15</v>
      </c>
      <c r="B18" s="210" t="s">
        <v>12</v>
      </c>
      <c r="C18" s="207"/>
      <c r="D18" s="197"/>
      <c r="E18" s="197"/>
      <c r="F18" s="197"/>
      <c r="G18" s="197"/>
      <c r="H18" s="197"/>
      <c r="I18" s="197"/>
      <c r="J18" s="197"/>
      <c r="K18" s="197"/>
      <c r="L18" s="197"/>
      <c r="M18" s="197"/>
      <c r="N18" s="197"/>
      <c r="O18" s="198"/>
    </row>
    <row r="19" spans="1:15" x14ac:dyDescent="0.25">
      <c r="A19" s="203">
        <v>16</v>
      </c>
      <c r="B19" s="210" t="s">
        <v>13</v>
      </c>
      <c r="C19" s="207"/>
      <c r="D19" s="197"/>
      <c r="E19" s="197"/>
      <c r="F19" s="197"/>
      <c r="G19" s="197"/>
      <c r="H19" s="197"/>
      <c r="I19" s="197"/>
      <c r="J19" s="197"/>
      <c r="K19" s="197"/>
      <c r="L19" s="197"/>
      <c r="M19" s="197"/>
      <c r="N19" s="197"/>
      <c r="O19" s="198"/>
    </row>
    <row r="20" spans="1:15" x14ac:dyDescent="0.25">
      <c r="A20" s="203">
        <v>17</v>
      </c>
      <c r="B20" s="210" t="s">
        <v>14</v>
      </c>
      <c r="C20" s="207"/>
      <c r="D20" s="197"/>
      <c r="E20" s="197"/>
      <c r="F20" s="197"/>
      <c r="G20" s="197"/>
      <c r="H20" s="197"/>
      <c r="I20" s="197"/>
      <c r="J20" s="197"/>
      <c r="K20" s="197"/>
      <c r="L20" s="197"/>
      <c r="M20" s="197"/>
      <c r="N20" s="197"/>
      <c r="O20" s="198"/>
    </row>
    <row r="21" spans="1:15" x14ac:dyDescent="0.25">
      <c r="A21" s="203">
        <v>18</v>
      </c>
      <c r="B21" s="210" t="s">
        <v>15</v>
      </c>
      <c r="C21" s="207"/>
      <c r="D21" s="197"/>
      <c r="E21" s="197"/>
      <c r="F21" s="197"/>
      <c r="G21" s="197"/>
      <c r="H21" s="197"/>
      <c r="I21" s="197"/>
      <c r="J21" s="197"/>
      <c r="K21" s="197"/>
      <c r="L21" s="197"/>
      <c r="M21" s="197"/>
      <c r="N21" s="197"/>
      <c r="O21" s="198"/>
    </row>
    <row r="22" spans="1:15" x14ac:dyDescent="0.25">
      <c r="A22" s="203">
        <v>19</v>
      </c>
      <c r="B22" s="210" t="s">
        <v>16</v>
      </c>
      <c r="C22" s="207"/>
      <c r="D22" s="197"/>
      <c r="E22" s="197"/>
      <c r="F22" s="197"/>
      <c r="G22" s="197"/>
      <c r="H22" s="197"/>
      <c r="I22" s="197"/>
      <c r="J22" s="197"/>
      <c r="K22" s="197"/>
      <c r="L22" s="197"/>
      <c r="M22" s="197"/>
      <c r="N22" s="197"/>
      <c r="O22" s="198"/>
    </row>
    <row r="23" spans="1:15" x14ac:dyDescent="0.25">
      <c r="A23" s="203">
        <v>20</v>
      </c>
      <c r="B23" s="210" t="s">
        <v>17</v>
      </c>
      <c r="C23" s="207"/>
      <c r="D23" s="197"/>
      <c r="E23" s="197"/>
      <c r="F23" s="197"/>
      <c r="G23" s="197"/>
      <c r="H23" s="197"/>
      <c r="I23" s="197"/>
      <c r="J23" s="197"/>
      <c r="K23" s="197"/>
      <c r="L23" s="197"/>
      <c r="M23" s="197"/>
      <c r="N23" s="197"/>
      <c r="O23" s="198"/>
    </row>
    <row r="24" spans="1:15" x14ac:dyDescent="0.25">
      <c r="A24" s="203">
        <v>21</v>
      </c>
      <c r="B24" s="210" t="s">
        <v>18</v>
      </c>
      <c r="C24" s="207"/>
      <c r="D24" s="197"/>
      <c r="E24" s="197"/>
      <c r="F24" s="197"/>
      <c r="G24" s="197"/>
      <c r="H24" s="197"/>
      <c r="I24" s="197"/>
      <c r="J24" s="197"/>
      <c r="K24" s="197"/>
      <c r="L24" s="197"/>
      <c r="M24" s="197"/>
      <c r="N24" s="197"/>
      <c r="O24" s="198"/>
    </row>
    <row r="25" spans="1:15" x14ac:dyDescent="0.25">
      <c r="A25" s="203">
        <v>22</v>
      </c>
      <c r="B25" s="210" t="s">
        <v>19</v>
      </c>
      <c r="C25" s="207"/>
      <c r="D25" s="197"/>
      <c r="E25" s="197"/>
      <c r="F25" s="197"/>
      <c r="G25" s="197"/>
      <c r="H25" s="197"/>
      <c r="I25" s="197"/>
      <c r="J25" s="197"/>
      <c r="K25" s="197"/>
      <c r="L25" s="197"/>
      <c r="M25" s="197"/>
      <c r="N25" s="197"/>
      <c r="O25" s="198"/>
    </row>
    <row r="26" spans="1:15" x14ac:dyDescent="0.25">
      <c r="A26" s="203">
        <v>23</v>
      </c>
      <c r="B26" s="210" t="s">
        <v>43</v>
      </c>
      <c r="C26" s="207"/>
      <c r="D26" s="197"/>
      <c r="E26" s="197"/>
      <c r="F26" s="197"/>
      <c r="G26" s="197"/>
      <c r="H26" s="197"/>
      <c r="I26" s="197"/>
      <c r="J26" s="197"/>
      <c r="K26" s="197"/>
      <c r="L26" s="197"/>
      <c r="M26" s="197"/>
      <c r="N26" s="197"/>
      <c r="O26" s="198"/>
    </row>
    <row r="27" spans="1:15" x14ac:dyDescent="0.25">
      <c r="A27" s="203">
        <v>24</v>
      </c>
      <c r="B27" s="210" t="s">
        <v>44</v>
      </c>
      <c r="C27" s="207">
        <v>2120</v>
      </c>
      <c r="D27" s="197">
        <v>2560</v>
      </c>
      <c r="E27" s="197">
        <v>2840</v>
      </c>
      <c r="F27" s="197">
        <v>2140</v>
      </c>
      <c r="G27" s="197">
        <v>2620</v>
      </c>
      <c r="H27" s="197">
        <v>8340</v>
      </c>
      <c r="I27" s="197">
        <v>3680</v>
      </c>
      <c r="J27" s="197">
        <v>2240</v>
      </c>
      <c r="K27" s="197">
        <v>5300</v>
      </c>
      <c r="L27" s="197">
        <v>5560</v>
      </c>
      <c r="M27" s="197">
        <v>3200</v>
      </c>
      <c r="N27" s="197">
        <v>2800</v>
      </c>
      <c r="O27" s="198">
        <f>SUM(Tabla91112[[#This Row],[Gener]:[Desembre]])</f>
        <v>43400</v>
      </c>
    </row>
    <row r="28" spans="1:15" x14ac:dyDescent="0.25">
      <c r="A28" s="203">
        <v>25</v>
      </c>
      <c r="B28" s="210" t="s">
        <v>20</v>
      </c>
      <c r="C28" s="207"/>
      <c r="D28" s="197"/>
      <c r="E28" s="197"/>
      <c r="F28" s="197"/>
      <c r="G28" s="197"/>
      <c r="H28" s="197"/>
      <c r="I28" s="197"/>
      <c r="J28" s="197"/>
      <c r="K28" s="197"/>
      <c r="L28" s="197"/>
      <c r="M28" s="197"/>
      <c r="N28" s="197"/>
      <c r="O28" s="198"/>
    </row>
    <row r="29" spans="1:15" x14ac:dyDescent="0.25">
      <c r="A29" s="203">
        <v>26</v>
      </c>
      <c r="B29" s="210" t="s">
        <v>45</v>
      </c>
      <c r="C29" s="207"/>
      <c r="D29" s="197"/>
      <c r="E29" s="197"/>
      <c r="F29" s="197"/>
      <c r="G29" s="197"/>
      <c r="H29" s="197"/>
      <c r="I29" s="197"/>
      <c r="J29" s="220"/>
      <c r="K29" s="197"/>
      <c r="L29" s="197"/>
      <c r="M29" s="197"/>
      <c r="N29" s="197"/>
      <c r="O29" s="198"/>
    </row>
    <row r="30" spans="1:15" x14ac:dyDescent="0.25">
      <c r="A30" s="203">
        <v>27</v>
      </c>
      <c r="B30" s="210" t="s">
        <v>46</v>
      </c>
      <c r="C30" s="207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8"/>
    </row>
    <row r="31" spans="1:15" x14ac:dyDescent="0.25">
      <c r="A31" s="203">
        <v>28</v>
      </c>
      <c r="B31" s="210" t="s">
        <v>47</v>
      </c>
      <c r="C31" s="207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8"/>
    </row>
    <row r="32" spans="1:15" x14ac:dyDescent="0.25">
      <c r="A32" s="203">
        <v>29</v>
      </c>
      <c r="B32" s="210" t="s">
        <v>48</v>
      </c>
      <c r="C32" s="207"/>
      <c r="D32" s="197"/>
      <c r="E32" s="197"/>
      <c r="F32" s="197"/>
      <c r="G32" s="197"/>
      <c r="H32" s="197"/>
      <c r="I32" s="197"/>
      <c r="J32" s="197"/>
      <c r="K32" s="197"/>
      <c r="L32" s="197"/>
      <c r="M32" s="197"/>
      <c r="N32" s="197"/>
      <c r="O32" s="198"/>
    </row>
    <row r="33" spans="1:15" x14ac:dyDescent="0.25">
      <c r="A33" s="203">
        <v>30</v>
      </c>
      <c r="B33" s="210" t="s">
        <v>50</v>
      </c>
      <c r="C33" s="207"/>
      <c r="D33" s="197"/>
      <c r="E33" s="197"/>
      <c r="F33" s="197"/>
      <c r="G33" s="197"/>
      <c r="H33" s="197"/>
      <c r="I33" s="197"/>
      <c r="J33" s="197"/>
      <c r="K33" s="197"/>
      <c r="L33" s="197"/>
      <c r="M33" s="197"/>
      <c r="N33" s="197"/>
      <c r="O33" s="198"/>
    </row>
    <row r="34" spans="1:15" x14ac:dyDescent="0.25">
      <c r="A34" s="203">
        <v>31</v>
      </c>
      <c r="B34" s="210" t="s">
        <v>51</v>
      </c>
      <c r="C34" s="207"/>
      <c r="D34" s="197"/>
      <c r="E34" s="197"/>
      <c r="F34" s="197"/>
      <c r="G34" s="197"/>
      <c r="H34" s="197"/>
      <c r="I34" s="197"/>
      <c r="J34" s="197"/>
      <c r="K34" s="197"/>
      <c r="L34" s="197"/>
      <c r="M34" s="197"/>
      <c r="N34" s="197"/>
      <c r="O34" s="198"/>
    </row>
    <row r="35" spans="1:15" x14ac:dyDescent="0.25">
      <c r="A35" s="203">
        <v>32</v>
      </c>
      <c r="B35" s="210" t="s">
        <v>52</v>
      </c>
      <c r="C35" s="207"/>
      <c r="D35" s="197"/>
      <c r="E35" s="197"/>
      <c r="F35" s="197"/>
      <c r="G35" s="197"/>
      <c r="H35" s="197"/>
      <c r="I35" s="197"/>
      <c r="J35" s="197"/>
      <c r="K35" s="197"/>
      <c r="L35" s="197"/>
      <c r="M35" s="197"/>
      <c r="N35" s="197"/>
      <c r="O35" s="198"/>
    </row>
    <row r="36" spans="1:15" x14ac:dyDescent="0.25">
      <c r="A36" s="203">
        <v>33</v>
      </c>
      <c r="B36" s="210" t="s">
        <v>21</v>
      </c>
      <c r="C36" s="207"/>
      <c r="D36" s="197"/>
      <c r="E36" s="197"/>
      <c r="F36" s="197"/>
      <c r="G36" s="197"/>
      <c r="H36" s="197"/>
      <c r="I36" s="197"/>
      <c r="J36" s="197"/>
      <c r="K36" s="197"/>
      <c r="L36" s="197"/>
      <c r="M36" s="197"/>
      <c r="N36" s="197"/>
      <c r="O36" s="198"/>
    </row>
    <row r="37" spans="1:15" x14ac:dyDescent="0.25">
      <c r="A37" s="203">
        <v>34</v>
      </c>
      <c r="B37" s="210" t="s">
        <v>22</v>
      </c>
      <c r="C37" s="207">
        <v>5400</v>
      </c>
      <c r="D37" s="197">
        <v>9220</v>
      </c>
      <c r="E37" s="197">
        <v>7840</v>
      </c>
      <c r="F37" s="197">
        <v>13180</v>
      </c>
      <c r="G37" s="197">
        <v>12200</v>
      </c>
      <c r="H37" s="197">
        <v>12700</v>
      </c>
      <c r="I37" s="197">
        <v>10960</v>
      </c>
      <c r="J37" s="197">
        <v>13760</v>
      </c>
      <c r="K37" s="197">
        <v>11200</v>
      </c>
      <c r="L37" s="197">
        <v>8780</v>
      </c>
      <c r="M37" s="197">
        <v>11280</v>
      </c>
      <c r="N37" s="197">
        <v>7300</v>
      </c>
      <c r="O37" s="198">
        <f>SUM(Tabla91112[[#This Row],[Gener]:[Desembre]])</f>
        <v>123820</v>
      </c>
    </row>
    <row r="38" spans="1:15" x14ac:dyDescent="0.25">
      <c r="A38" s="203">
        <v>35</v>
      </c>
      <c r="B38" s="210" t="s">
        <v>23</v>
      </c>
      <c r="C38" s="207"/>
      <c r="D38" s="197"/>
      <c r="E38" s="197"/>
      <c r="F38" s="197"/>
      <c r="G38" s="197"/>
      <c r="H38" s="197"/>
      <c r="I38" s="197"/>
      <c r="J38" s="197"/>
      <c r="K38" s="197"/>
      <c r="L38" s="197"/>
      <c r="M38" s="197"/>
      <c r="N38" s="197"/>
      <c r="O38" s="198"/>
    </row>
    <row r="39" spans="1:15" x14ac:dyDescent="0.25">
      <c r="A39" s="203">
        <v>36</v>
      </c>
      <c r="B39" s="210" t="s">
        <v>24</v>
      </c>
      <c r="C39" s="207"/>
      <c r="D39" s="197"/>
      <c r="E39" s="197"/>
      <c r="F39" s="197"/>
      <c r="G39" s="197"/>
      <c r="H39" s="197"/>
      <c r="I39" s="197"/>
      <c r="J39" s="197"/>
      <c r="K39" s="197"/>
      <c r="L39" s="197"/>
      <c r="M39" s="197"/>
      <c r="N39" s="197"/>
      <c r="O39" s="198"/>
    </row>
    <row r="40" spans="1:15" x14ac:dyDescent="0.25">
      <c r="A40" s="203">
        <v>37</v>
      </c>
      <c r="B40" s="210" t="s">
        <v>25</v>
      </c>
      <c r="C40" s="207"/>
      <c r="D40" s="197"/>
      <c r="E40" s="197"/>
      <c r="F40" s="197"/>
      <c r="G40" s="197"/>
      <c r="H40" s="197"/>
      <c r="I40" s="197"/>
      <c r="J40" s="220"/>
      <c r="K40" s="197"/>
      <c r="L40" s="197"/>
      <c r="M40" s="197"/>
      <c r="N40" s="197"/>
      <c r="O40" s="198"/>
    </row>
    <row r="41" spans="1:15" x14ac:dyDescent="0.25">
      <c r="A41" s="203">
        <v>38</v>
      </c>
      <c r="B41" s="210" t="s">
        <v>5</v>
      </c>
      <c r="C41" s="207"/>
      <c r="D41" s="197"/>
      <c r="E41" s="197"/>
      <c r="F41" s="197"/>
      <c r="G41" s="197"/>
      <c r="H41" s="197"/>
      <c r="I41" s="197"/>
      <c r="J41" s="197"/>
      <c r="K41" s="197"/>
      <c r="L41" s="197"/>
      <c r="M41" s="197"/>
      <c r="N41" s="197"/>
      <c r="O41" s="198"/>
    </row>
    <row r="42" spans="1:15" x14ac:dyDescent="0.25">
      <c r="A42" s="203">
        <v>39</v>
      </c>
      <c r="B42" s="210" t="s">
        <v>6</v>
      </c>
      <c r="C42" s="207"/>
      <c r="D42" s="197"/>
      <c r="E42" s="197"/>
      <c r="F42" s="197"/>
      <c r="G42" s="197"/>
      <c r="H42" s="197"/>
      <c r="I42" s="197"/>
      <c r="J42" s="197"/>
      <c r="K42" s="197"/>
      <c r="L42" s="197"/>
      <c r="M42" s="197"/>
      <c r="N42" s="197"/>
      <c r="O42" s="198"/>
    </row>
    <row r="43" spans="1:15" x14ac:dyDescent="0.25">
      <c r="A43" s="203">
        <v>40</v>
      </c>
      <c r="B43" s="210" t="s">
        <v>8</v>
      </c>
      <c r="C43" s="207"/>
      <c r="D43" s="197"/>
      <c r="E43" s="197"/>
      <c r="F43" s="197"/>
      <c r="G43" s="197"/>
      <c r="H43" s="197"/>
      <c r="I43" s="197"/>
      <c r="J43" s="197"/>
      <c r="K43" s="197"/>
      <c r="L43" s="197"/>
      <c r="M43" s="197"/>
      <c r="N43" s="197"/>
      <c r="O43" s="198"/>
    </row>
    <row r="44" spans="1:15" s="66" customFormat="1" ht="15.75" thickBot="1" x14ac:dyDescent="0.3">
      <c r="A44" s="204">
        <v>41</v>
      </c>
      <c r="B44" s="211" t="s">
        <v>49</v>
      </c>
      <c r="C44" s="208"/>
      <c r="D44" s="199"/>
      <c r="E44" s="199"/>
      <c r="F44" s="199"/>
      <c r="G44" s="199"/>
      <c r="H44" s="199"/>
      <c r="I44" s="199"/>
      <c r="J44" s="199"/>
      <c r="K44" s="199"/>
      <c r="L44" s="199"/>
      <c r="M44" s="199"/>
      <c r="N44" s="199"/>
      <c r="O44" s="200"/>
    </row>
    <row r="45" spans="1:15" ht="15.75" thickBot="1" x14ac:dyDescent="0.3">
      <c r="A45" s="129"/>
      <c r="B45" s="132" t="s">
        <v>71</v>
      </c>
      <c r="C45" s="133">
        <f>SUBTOTAL(109,C4:C44)</f>
        <v>14080</v>
      </c>
      <c r="D45" s="134">
        <f>SUBTOTAL(109,D4:D44)</f>
        <v>17300</v>
      </c>
      <c r="E45" s="134">
        <f t="shared" ref="E45:N45" si="0">SUBTOTAL(109,E4:E44)</f>
        <v>17240</v>
      </c>
      <c r="F45" s="134">
        <f t="shared" si="0"/>
        <v>21620</v>
      </c>
      <c r="G45" s="134">
        <f t="shared" si="0"/>
        <v>23900</v>
      </c>
      <c r="H45" s="134">
        <f t="shared" si="0"/>
        <v>25800</v>
      </c>
      <c r="I45" s="134">
        <f t="shared" si="0"/>
        <v>21320</v>
      </c>
      <c r="J45" s="134">
        <f t="shared" si="0"/>
        <v>25960</v>
      </c>
      <c r="K45" s="134">
        <f t="shared" si="0"/>
        <v>27200</v>
      </c>
      <c r="L45" s="134">
        <f t="shared" si="0"/>
        <v>26340</v>
      </c>
      <c r="M45" s="134">
        <f t="shared" si="0"/>
        <v>21400</v>
      </c>
      <c r="N45" s="134">
        <f t="shared" si="0"/>
        <v>18460</v>
      </c>
      <c r="O45" s="135">
        <f>SUM(Tabla91112[[#This Row],[Gener]:[Desembre]])</f>
        <v>260620</v>
      </c>
    </row>
    <row r="51" spans="16:16" x14ac:dyDescent="0.25">
      <c r="P51" s="67"/>
    </row>
  </sheetData>
  <pageMargins left="0.55118110236220474" right="0.35433070866141736" top="0.65" bottom="0.7" header="0.19685039370078741" footer="0.42"/>
  <pageSetup paperSize="9" scale="75" fitToWidth="0" fitToHeight="0" orientation="landscape" r:id="rId1"/>
  <headerFooter alignWithMargins="0">
    <oddHeader>&amp;L&amp;"Calibri,Normal"&amp;G&amp;C&amp;"Calibri,Normal"&amp;F&amp;R&amp;"Calibri,Normal"&amp;G</oddHeader>
    <oddFooter>&amp;L&amp;"Calibri,Normal"&amp;D&amp;C&amp;"Calibri,Normal"&amp;A&amp;R&amp;"Calibri,Normal"&amp;P de &amp;N</oddFooter>
  </headerFooter>
  <legacyDrawingHF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RESUM 2019</vt:lpstr>
      <vt:lpstr>PAPER I CARTRÓ</vt:lpstr>
      <vt:lpstr>PAPER I CARTRÓ PORTA A PORTA</vt:lpstr>
      <vt:lpstr>ENVASOS</vt:lpstr>
      <vt:lpstr>VIDRE</vt:lpstr>
      <vt:lpstr>RMO</vt:lpstr>
      <vt:lpstr>FORM</vt:lpstr>
      <vt:lpstr>VERD</vt:lpstr>
      <vt:lpstr>Voluminosos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tecnic dades</dc:creator>
  <cp:lastModifiedBy>Mònica Llorente Gutierrez</cp:lastModifiedBy>
  <cp:lastPrinted>2019-12-19T15:54:37Z</cp:lastPrinted>
  <dcterms:created xsi:type="dcterms:W3CDTF">2014-04-10T06:59:07Z</dcterms:created>
  <dcterms:modified xsi:type="dcterms:W3CDTF">2024-02-13T12:26:17Z</dcterms:modified>
</cp:coreProperties>
</file>