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2021\"/>
    </mc:Choice>
  </mc:AlternateContent>
  <bookViews>
    <workbookView xWindow="-90" yWindow="-90" windowWidth="11910" windowHeight="7680" tabRatio="809"/>
  </bookViews>
  <sheets>
    <sheet name="PAPER I CARTRÓ" sheetId="10" r:id="rId1"/>
    <sheet name="PAPER I CARTRÓ COMERCIAL" sheetId="20" r:id="rId2"/>
    <sheet name="ENVASOS" sheetId="12" r:id="rId3"/>
    <sheet name="VIDRE" sheetId="13" r:id="rId4"/>
    <sheet name="FORM" sheetId="5" r:id="rId5"/>
  </sheets>
  <definedNames>
    <definedName name="llInstal" localSheetId="1">#REF!</definedName>
    <definedName name="llInstal">#REF!</definedName>
    <definedName name="llInstalCodi" localSheetId="1">#REF!</definedName>
    <definedName name="llInstalCodi">#REF!</definedName>
    <definedName name="llTitulars" localSheetId="1">#REF!</definedName>
    <definedName name="llTitulars">#REF!</definedName>
    <definedName name="llTitularsCodi" localSheetId="1">#REF!</definedName>
    <definedName name="llTitularsCodi">#REF!</definedName>
  </definedNames>
  <calcPr calcId="162913"/>
</workbook>
</file>

<file path=xl/calcChain.xml><?xml version="1.0" encoding="utf-8"?>
<calcChain xmlns="http://schemas.openxmlformats.org/spreadsheetml/2006/main">
  <c r="C47" i="13" l="1"/>
  <c r="N47" i="12"/>
  <c r="M47" i="12"/>
  <c r="L47" i="12"/>
  <c r="K47" i="12"/>
  <c r="J47" i="12"/>
  <c r="I47" i="12"/>
  <c r="H47" i="12"/>
  <c r="G47" i="12"/>
  <c r="F47" i="12"/>
  <c r="E47" i="12"/>
  <c r="D47" i="12"/>
  <c r="C47" i="12"/>
  <c r="J28" i="10" l="1"/>
  <c r="J26" i="5" l="1"/>
  <c r="J21" i="5"/>
  <c r="J22" i="13" l="1"/>
  <c r="J20" i="13"/>
  <c r="H26" i="5" l="1"/>
  <c r="H21" i="5"/>
  <c r="H22" i="13"/>
  <c r="H20" i="13"/>
  <c r="G26" i="5" l="1"/>
  <c r="G21" i="5"/>
  <c r="G41" i="5"/>
  <c r="G22" i="12" l="1"/>
  <c r="G20" i="12"/>
  <c r="G27" i="12"/>
  <c r="G42" i="12"/>
  <c r="G25" i="12"/>
  <c r="G21" i="12"/>
  <c r="G14" i="12"/>
  <c r="G20" i="13" l="1"/>
  <c r="G22" i="13"/>
  <c r="F22" i="13" l="1"/>
  <c r="F20" i="13"/>
  <c r="F21" i="20"/>
  <c r="F14" i="20"/>
  <c r="F26" i="5"/>
  <c r="F21" i="5"/>
  <c r="F38" i="5"/>
  <c r="F36" i="5"/>
  <c r="F22" i="12" l="1"/>
  <c r="F20" i="12"/>
  <c r="F27" i="12"/>
  <c r="F42" i="12"/>
  <c r="F39" i="12"/>
  <c r="F25" i="12"/>
  <c r="F21" i="12"/>
  <c r="F14" i="12"/>
  <c r="E21" i="5" l="1"/>
  <c r="E15" i="5"/>
  <c r="E22" i="13" l="1"/>
  <c r="E20" i="13"/>
  <c r="E21" i="13"/>
  <c r="D22" i="13" l="1"/>
  <c r="D20" i="13"/>
  <c r="D32" i="5"/>
  <c r="D26" i="5"/>
  <c r="D21" i="5"/>
  <c r="D19" i="5"/>
  <c r="D20" i="12"/>
  <c r="D27" i="12"/>
  <c r="D42" i="12"/>
  <c r="D25" i="12"/>
  <c r="D22" i="12"/>
  <c r="D21" i="12"/>
  <c r="D16" i="12"/>
  <c r="D14" i="12"/>
  <c r="D7" i="12"/>
  <c r="C22" i="13"/>
  <c r="C20" i="13"/>
  <c r="C21" i="20" l="1"/>
  <c r="C14" i="20"/>
  <c r="N45" i="10"/>
  <c r="M45" i="10"/>
  <c r="L45" i="10"/>
  <c r="K45" i="10"/>
  <c r="J45" i="10"/>
  <c r="I45" i="10"/>
  <c r="H45" i="10"/>
  <c r="G45" i="10"/>
  <c r="F45" i="10"/>
  <c r="E45" i="10"/>
  <c r="D45" i="10"/>
  <c r="C45" i="10"/>
  <c r="C26" i="5"/>
  <c r="C21" i="5"/>
  <c r="C22" i="12"/>
  <c r="C20" i="12"/>
  <c r="C27" i="12"/>
  <c r="C42" i="12"/>
  <c r="C25" i="12"/>
  <c r="C21" i="12"/>
  <c r="C16" i="12"/>
  <c r="C14" i="12"/>
  <c r="F45" i="13" l="1"/>
  <c r="J44" i="5" l="1"/>
  <c r="O45" i="5" l="1"/>
  <c r="N44" i="5"/>
  <c r="M44" i="5"/>
  <c r="L44" i="5"/>
  <c r="K44" i="5"/>
  <c r="I44" i="5"/>
  <c r="H44" i="5"/>
  <c r="G44" i="5"/>
  <c r="F44" i="5"/>
  <c r="E44" i="5"/>
  <c r="D44" i="5"/>
  <c r="O43" i="5"/>
  <c r="O41" i="5"/>
  <c r="O38" i="5"/>
  <c r="O36" i="5"/>
  <c r="O33" i="5"/>
  <c r="O32" i="5"/>
  <c r="O31" i="5"/>
  <c r="O29" i="5"/>
  <c r="O28" i="5"/>
  <c r="O26" i="5"/>
  <c r="O23" i="5"/>
  <c r="O21" i="5"/>
  <c r="O19" i="5"/>
  <c r="O15" i="5"/>
  <c r="O10" i="5"/>
  <c r="O9" i="5"/>
  <c r="O7" i="5"/>
  <c r="O4" i="5"/>
  <c r="O46" i="13"/>
  <c r="N45" i="13"/>
  <c r="M45" i="13"/>
  <c r="L45" i="13"/>
  <c r="K45" i="13"/>
  <c r="J45" i="13"/>
  <c r="I45" i="13"/>
  <c r="H45" i="13"/>
  <c r="G45" i="13"/>
  <c r="E45" i="13"/>
  <c r="D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C45" i="13"/>
  <c r="O14" i="13"/>
  <c r="O13" i="13"/>
  <c r="O12" i="13"/>
  <c r="O11" i="13"/>
  <c r="O10" i="13"/>
  <c r="O9" i="13"/>
  <c r="O8" i="13"/>
  <c r="O7" i="13"/>
  <c r="O6" i="13"/>
  <c r="O5" i="13"/>
  <c r="O46" i="12"/>
  <c r="O47" i="12" s="1"/>
  <c r="N45" i="12"/>
  <c r="M45" i="12"/>
  <c r="L45" i="12"/>
  <c r="K45" i="12"/>
  <c r="J45" i="12"/>
  <c r="I45" i="12"/>
  <c r="H45" i="12"/>
  <c r="G45" i="12"/>
  <c r="F45" i="12"/>
  <c r="E45" i="12"/>
  <c r="D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6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C47" i="20" l="1"/>
  <c r="F47" i="20"/>
  <c r="N47" i="20"/>
  <c r="D47" i="20"/>
  <c r="M47" i="20"/>
  <c r="L47" i="10"/>
  <c r="E47" i="10"/>
  <c r="E46" i="5"/>
  <c r="D47" i="10"/>
  <c r="D46" i="5"/>
  <c r="M46" i="5"/>
  <c r="J47" i="20"/>
  <c r="I47" i="20"/>
  <c r="H47" i="20"/>
  <c r="L47" i="20"/>
  <c r="K47" i="20"/>
  <c r="H47" i="10"/>
  <c r="M47" i="10"/>
  <c r="O15" i="13"/>
  <c r="O45" i="13" s="1"/>
  <c r="O47" i="13" s="1"/>
  <c r="N47" i="10"/>
  <c r="I47" i="13"/>
  <c r="M47" i="13"/>
  <c r="C44" i="5"/>
  <c r="J46" i="5"/>
  <c r="N46" i="5"/>
  <c r="K47" i="13"/>
  <c r="I47" i="10"/>
  <c r="C45" i="12"/>
  <c r="D47" i="13"/>
  <c r="H47" i="13"/>
  <c r="L47" i="13"/>
  <c r="I46" i="5"/>
  <c r="J47" i="10"/>
  <c r="K47" i="10"/>
  <c r="J47" i="13"/>
  <c r="N47" i="13"/>
  <c r="K46" i="5"/>
  <c r="H46" i="5"/>
  <c r="L46" i="5"/>
  <c r="G47" i="20"/>
  <c r="G47" i="13"/>
  <c r="G47" i="10"/>
  <c r="G46" i="5"/>
  <c r="F47" i="13"/>
  <c r="F47" i="10"/>
  <c r="F46" i="5"/>
  <c r="O45" i="12"/>
  <c r="E47" i="13"/>
  <c r="E47" i="20"/>
  <c r="O45" i="10"/>
  <c r="O47" i="10" s="1"/>
  <c r="O45" i="20"/>
  <c r="O47" i="20" s="1"/>
  <c r="C46" i="5" l="1"/>
  <c r="C47" i="10"/>
  <c r="O44" i="5"/>
  <c r="O46" i="5" s="1"/>
</calcChain>
</file>

<file path=xl/sharedStrings.xml><?xml version="1.0" encoding="utf-8"?>
<sst xmlns="http://schemas.openxmlformats.org/spreadsheetml/2006/main" count="305" uniqueCount="70">
  <si>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</si>
  <si>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</si>
  <si>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</si>
  <si>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</si>
  <si>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</si>
  <si>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</si>
  <si>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</si>
  <si>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</si>
  <si>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</si>
  <si>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</si>
  <si>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</si>
  <si>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</si>
  <si>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</si>
  <si>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</si>
  <si>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</si>
  <si>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</si>
  <si>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</si>
  <si>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</si>
  <si>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</si>
  <si>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</si>
  <si>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</si>
  <si>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</si>
  <si>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</si>
  <si>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</si>
  <si>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</si>
  <si>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</si>
  <si>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</si>
  <si>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</si>
  <si>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</si>
  <si>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</si>
  <si>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</si>
  <si>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</si>
  <si>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</si>
  <si>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</si>
  <si>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</si>
  <si>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</si>
  <si>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</si>
  <si>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</si>
  <si>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</si>
  <si>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</si>
  <si>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</si>
  <si>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</si>
  <si>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</si>
  <si>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</si>
  <si>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</si>
  <si>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</si>
  <si>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</si>
  <si>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</si>
  <si>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</si>
  <si>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</si>
  <si>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</si>
  <si>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</si>
  <si>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</si>
  <si>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</si>
  <si>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</si>
  <si>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FORM</t>
  </si>
  <si>
    <t>Població</t>
  </si>
  <si>
    <t>Increment/Decrement</t>
  </si>
  <si>
    <t>Núm.</t>
  </si>
  <si>
    <t xml:space="preserve">Núm. </t>
  </si>
  <si>
    <t>TOTAL MENSUAL 2020</t>
  </si>
  <si>
    <t>TOTAL MENSUAL 2021</t>
  </si>
  <si>
    <t>ORGÀNICA - 2021</t>
  </si>
  <si>
    <r>
      <t xml:space="preserve">PAPER I CARTRÓ - 2022 </t>
    </r>
    <r>
      <rPr>
        <b/>
        <sz val="12"/>
        <color rgb="FFFF0000"/>
        <rFont val="Calibri"/>
        <family val="2"/>
        <scheme val="minor"/>
      </rPr>
      <t>(CODI LER 200101)</t>
    </r>
  </si>
  <si>
    <t>Àrees d'aportació, recollida complementària i Porta a porta domiciliari</t>
  </si>
  <si>
    <r>
      <t xml:space="preserve">PAPER I CARTRÓ - 2021 </t>
    </r>
    <r>
      <rPr>
        <b/>
        <sz val="12"/>
        <color rgb="FFFF0000"/>
        <rFont val="Calibri"/>
        <family val="2"/>
        <scheme val="minor"/>
      </rPr>
      <t>(CODI LER 200101)</t>
    </r>
  </si>
  <si>
    <t>Paper i Cartró - Porta a porta comercial, Mercat i papereres</t>
  </si>
  <si>
    <t>Xifres en quilos</t>
  </si>
  <si>
    <r>
      <t xml:space="preserve">ENVASOS - 2021 </t>
    </r>
    <r>
      <rPr>
        <b/>
        <sz val="12"/>
        <color rgb="FFFF0000"/>
        <rFont val="Calibri"/>
        <family val="2"/>
        <scheme val="minor"/>
      </rPr>
      <t>(CODI LER 200139)</t>
    </r>
  </si>
  <si>
    <r>
      <t xml:space="preserve">VIDRE - 2021 </t>
    </r>
    <r>
      <rPr>
        <b/>
        <sz val="12"/>
        <color rgb="FFFF0000"/>
        <rFont val="Calibri"/>
        <family val="2"/>
        <scheme val="minor"/>
      </rPr>
      <t>(CODI LER 150107)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</si>
</sst>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&quot;    &quot;;#,##0.00&quot;    &quot;;&quot;-&quot;#&quot;    &quot;;@&quot; &quot;"/>
    <numFmt numFmtId="168" formatCode="#,##0.00&quot; &quot;[$€-403];[Red]&quot;-&quot;#,##0.00&quot; &quot;[$€-403]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67" fontId="9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 textRotation="90"/>
    </xf>
    <xf numFmtId="0" fontId="10" fillId="0" borderId="0">
      <alignment horizontal="center" textRotation="90"/>
    </xf>
    <xf numFmtId="0" fontId="11" fillId="0" borderId="0"/>
    <xf numFmtId="0" fontId="11" fillId="0" borderId="0"/>
    <xf numFmtId="168" fontId="11" fillId="0" borderId="0"/>
    <xf numFmtId="168" fontId="11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3" fontId="0" fillId="0" borderId="0" xfId="0" applyNumberFormat="1" applyProtection="1"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NumberFormat="1" applyFont="1" applyFill="1" applyBorder="1" applyAlignment="1" applyProtection="1">
      <alignment horizontal="left"/>
      <protection hidden="1"/>
    </xf>
    <xf numFmtId="0" fontId="3" fillId="0" borderId="3" xfId="0" applyNumberFormat="1" applyFont="1" applyFill="1" applyBorder="1" applyAlignment="1" applyProtection="1">
      <alignment horizontal="left"/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29" xfId="0" applyNumberFormat="1" applyFont="1" applyFill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29" xfId="0" applyNumberFormat="1" applyFon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7" fillId="0" borderId="35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0" fillId="0" borderId="37" xfId="0" applyNumberFormat="1" applyBorder="1" applyAlignment="1" applyProtection="1">
      <alignment horizontal="center"/>
      <protection hidden="1"/>
    </xf>
    <xf numFmtId="3" fontId="7" fillId="0" borderId="38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3" fontId="0" fillId="0" borderId="30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7" fillId="0" borderId="38" xfId="0" applyNumberFormat="1" applyFont="1" applyFill="1" applyBorder="1" applyAlignment="1" applyProtection="1">
      <alignment horizontal="left"/>
      <protection hidden="1"/>
    </xf>
    <xf numFmtId="0" fontId="4" fillId="0" borderId="38" xfId="0" applyFont="1" applyBorder="1" applyProtection="1"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3" fontId="0" fillId="0" borderId="53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0" fontId="4" fillId="0" borderId="55" xfId="0" applyNumberFormat="1" applyFont="1" applyFill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9" fontId="12" fillId="0" borderId="22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NumberFormat="1" applyFont="1" applyFill="1" applyBorder="1" applyAlignment="1" applyProtection="1">
      <alignment horizontal="left"/>
      <protection hidden="1"/>
    </xf>
    <xf numFmtId="169" fontId="12" fillId="0" borderId="56" xfId="11" applyNumberFormat="1" applyFont="1" applyBorder="1" applyAlignment="1" applyProtection="1">
      <alignment horizontal="center"/>
      <protection hidden="1"/>
    </xf>
    <xf numFmtId="0" fontId="13" fillId="0" borderId="13" xfId="0" applyNumberFormat="1" applyFont="1" applyFill="1" applyBorder="1" applyAlignment="1" applyProtection="1">
      <alignment horizontal="left"/>
      <protection hidden="1"/>
    </xf>
    <xf numFmtId="3" fontId="0" fillId="0" borderId="58" xfId="0" applyNumberFormat="1" applyBorder="1" applyAlignment="1" applyProtection="1">
      <alignment horizontal="center"/>
      <protection hidden="1"/>
    </xf>
    <xf numFmtId="3" fontId="4" fillId="0" borderId="31" xfId="0" applyNumberFormat="1" applyFont="1" applyFill="1" applyBorder="1" applyAlignment="1" applyProtection="1">
      <alignment horizontal="center"/>
      <protection hidden="1"/>
    </xf>
    <xf numFmtId="3" fontId="0" fillId="0" borderId="6" xfId="0" applyNumberFormat="1" applyFill="1" applyBorder="1" applyAlignment="1" applyProtection="1">
      <alignment horizontal="center"/>
      <protection hidden="1"/>
    </xf>
    <xf numFmtId="3" fontId="0" fillId="0" borderId="22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left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3" fontId="0" fillId="0" borderId="60" xfId="0" applyNumberFormat="1" applyBorder="1" applyAlignment="1" applyProtection="1">
      <alignment horizontal="center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62" xfId="0" applyFill="1" applyBorder="1" applyAlignment="1" applyProtection="1">
      <alignment horizontal="left"/>
      <protection hidden="1"/>
    </xf>
    <xf numFmtId="0" fontId="0" fillId="0" borderId="63" xfId="0" applyFont="1" applyFill="1" applyBorder="1" applyAlignment="1" applyProtection="1">
      <alignment horizontal="left"/>
      <protection hidden="1"/>
    </xf>
    <xf numFmtId="0" fontId="0" fillId="0" borderId="63" xfId="0" applyFill="1" applyBorder="1" applyAlignment="1" applyProtection="1">
      <alignment horizontal="left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left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 horizontal="left"/>
      <protection hidden="1"/>
    </xf>
    <xf numFmtId="0" fontId="0" fillId="0" borderId="67" xfId="0" applyFont="1" applyFill="1" applyBorder="1" applyAlignment="1" applyProtection="1">
      <alignment horizontal="left"/>
      <protection hidden="1"/>
    </xf>
    <xf numFmtId="0" fontId="0" fillId="0" borderId="67" xfId="0" applyFill="1" applyBorder="1" applyAlignment="1" applyProtection="1">
      <alignment horizontal="left"/>
      <protection hidden="1"/>
    </xf>
    <xf numFmtId="3" fontId="4" fillId="0" borderId="55" xfId="0" applyNumberFormat="1" applyFont="1" applyBorder="1" applyAlignment="1" applyProtection="1">
      <alignment horizontal="center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0" fontId="3" fillId="0" borderId="23" xfId="0" applyNumberFormat="1" applyFont="1" applyFill="1" applyBorder="1" applyAlignment="1" applyProtection="1">
      <alignment horizontal="left"/>
      <protection hidden="1"/>
    </xf>
    <xf numFmtId="3" fontId="6" fillId="0" borderId="61" xfId="0" applyNumberFormat="1" applyFont="1" applyFill="1" applyBorder="1" applyAlignment="1" applyProtection="1">
      <alignment horizontal="center"/>
      <protection hidden="1"/>
    </xf>
    <xf numFmtId="3" fontId="3" fillId="0" borderId="26" xfId="0" applyNumberFormat="1" applyFont="1" applyFill="1" applyBorder="1" applyAlignment="1" applyProtection="1">
      <alignment horizontal="center"/>
      <protection hidden="1"/>
    </xf>
    <xf numFmtId="3" fontId="3" fillId="0" borderId="4" xfId="0" applyNumberFormat="1" applyFont="1" applyFill="1" applyBorder="1" applyAlignment="1" applyProtection="1">
      <alignment horizontal="center"/>
      <protection hidden="1"/>
    </xf>
    <xf numFmtId="3" fontId="3" fillId="0" borderId="40" xfId="0" applyNumberFormat="1" applyFont="1" applyFill="1" applyBorder="1" applyAlignment="1" applyProtection="1">
      <alignment horizontal="center"/>
      <protection hidden="1"/>
    </xf>
    <xf numFmtId="3" fontId="3" fillId="0" borderId="16" xfId="0" applyNumberFormat="1" applyFont="1" applyFill="1" applyBorder="1" applyAlignment="1" applyProtection="1">
      <alignment horizontal="center"/>
      <protection hidden="1"/>
    </xf>
    <xf numFmtId="3" fontId="3" fillId="0" borderId="6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 applyProtection="1">
      <alignment horizontal="center"/>
      <protection hidden="1"/>
    </xf>
    <xf numFmtId="3" fontId="3" fillId="0" borderId="9" xfId="0" applyNumberFormat="1" applyFont="1" applyFill="1" applyBorder="1" applyAlignment="1" applyProtection="1">
      <alignment horizontal="center"/>
      <protection hidden="1"/>
    </xf>
    <xf numFmtId="169" fontId="13" fillId="0" borderId="10" xfId="11" applyNumberFormat="1" applyFont="1" applyFill="1" applyBorder="1" applyAlignment="1" applyProtection="1">
      <alignment horizontal="center"/>
      <protection hidden="1"/>
    </xf>
    <xf numFmtId="169" fontId="13" fillId="0" borderId="11" xfId="11" applyNumberFormat="1" applyFont="1" applyFill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center"/>
      <protection hidden="1"/>
    </xf>
    <xf numFmtId="3" fontId="3" fillId="0" borderId="2" xfId="0" applyNumberFormat="1" applyFont="1" applyFill="1" applyBorder="1" applyAlignment="1" applyProtection="1">
      <alignment horizontal="center"/>
      <protection hidden="1"/>
    </xf>
    <xf numFmtId="3" fontId="3" fillId="0" borderId="3" xfId="0" applyNumberFormat="1" applyFont="1" applyFill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69" xfId="7" applyNumberFormat="1" applyFon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10" fontId="13" fillId="0" borderId="11" xfId="11" applyNumberFormat="1" applyFont="1" applyFill="1" applyBorder="1" applyAlignment="1" applyProtection="1">
      <alignment horizontal="center"/>
      <protection hidden="1"/>
    </xf>
    <xf numFmtId="3" fontId="4" fillId="0" borderId="37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12" fillId="0" borderId="37" xfId="0" applyNumberFormat="1" applyFont="1" applyBorder="1" applyAlignment="1" applyProtection="1">
      <alignment horizontal="center"/>
      <protection hidden="1"/>
    </xf>
    <xf numFmtId="3" fontId="12" fillId="0" borderId="14" xfId="0" applyNumberFormat="1" applyFont="1" applyBorder="1" applyAlignment="1" applyProtection="1">
      <alignment horizontal="center"/>
      <protection hidden="1"/>
    </xf>
    <xf numFmtId="3" fontId="12" fillId="0" borderId="15" xfId="0" applyNumberFormat="1" applyFont="1" applyBorder="1" applyAlignment="1" applyProtection="1">
      <alignment horizontal="center"/>
      <protection hidden="1"/>
    </xf>
    <xf numFmtId="169" fontId="12" fillId="0" borderId="18" xfId="11" applyNumberFormat="1" applyFont="1" applyBorder="1" applyAlignment="1" applyProtection="1">
      <alignment horizontal="center"/>
      <protection hidden="1"/>
    </xf>
    <xf numFmtId="169" fontId="12" fillId="0" borderId="19" xfId="11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 horizontal="center"/>
      <protection hidden="1"/>
    </xf>
    <xf numFmtId="0" fontId="0" fillId="0" borderId="73" xfId="0" applyFill="1" applyBorder="1" applyAlignment="1" applyProtection="1">
      <alignment horizontal="left"/>
      <protection hidden="1"/>
    </xf>
    <xf numFmtId="3" fontId="0" fillId="0" borderId="74" xfId="0" applyNumberFormat="1" applyBorder="1" applyAlignment="1" applyProtection="1">
      <alignment horizontal="center"/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4" fillId="0" borderId="76" xfId="0" applyNumberFormat="1" applyFont="1" applyBorder="1" applyAlignment="1" applyProtection="1">
      <alignment horizontal="center"/>
      <protection hidden="1"/>
    </xf>
    <xf numFmtId="3" fontId="4" fillId="0" borderId="78" xfId="0" applyNumberFormat="1" applyFont="1" applyBorder="1" applyAlignment="1" applyProtection="1">
      <alignment horizontal="center"/>
      <protection hidden="1"/>
    </xf>
    <xf numFmtId="3" fontId="4" fillId="0" borderId="79" xfId="0" applyNumberFormat="1" applyFont="1" applyBorder="1" applyAlignment="1" applyProtection="1">
      <alignment horizontal="center"/>
      <protection hidden="1"/>
    </xf>
    <xf numFmtId="3" fontId="0" fillId="0" borderId="80" xfId="0" applyNumberFormat="1" applyBorder="1" applyAlignment="1" applyProtection="1">
      <alignment horizontal="center"/>
      <protection hidden="1"/>
    </xf>
    <xf numFmtId="3" fontId="0" fillId="0" borderId="81" xfId="0" applyNumberFormat="1" applyBorder="1" applyAlignment="1" applyProtection="1">
      <alignment horizontal="center"/>
      <protection hidden="1"/>
    </xf>
    <xf numFmtId="3" fontId="4" fillId="0" borderId="82" xfId="0" applyNumberFormat="1" applyFont="1" applyBorder="1" applyAlignment="1" applyProtection="1">
      <alignment horizontal="center"/>
      <protection hidden="1"/>
    </xf>
    <xf numFmtId="3" fontId="7" fillId="0" borderId="71" xfId="0" applyNumberFormat="1" applyFont="1" applyBorder="1" applyAlignment="1" applyProtection="1">
      <alignment horizontal="center"/>
      <protection hidden="1"/>
    </xf>
    <xf numFmtId="3" fontId="4" fillId="0" borderId="77" xfId="0" applyNumberFormat="1" applyFont="1" applyBorder="1" applyAlignment="1" applyProtection="1">
      <alignment horizontal="center"/>
      <protection hidden="1"/>
    </xf>
    <xf numFmtId="3" fontId="7" fillId="0" borderId="83" xfId="0" applyNumberFormat="1" applyFont="1" applyBorder="1" applyAlignment="1" applyProtection="1">
      <alignment horizontal="center"/>
      <protection hidden="1"/>
    </xf>
    <xf numFmtId="0" fontId="15" fillId="0" borderId="0" xfId="0" applyFont="1"/>
    <xf numFmtId="4" fontId="15" fillId="0" borderId="0" xfId="0" applyNumberFormat="1" applyFont="1"/>
    <xf numFmtId="4" fontId="16" fillId="0" borderId="0" xfId="0" applyNumberFormat="1" applyFont="1"/>
    <xf numFmtId="0" fontId="0" fillId="0" borderId="6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" fontId="0" fillId="0" borderId="0" xfId="0" applyNumberFormat="1"/>
    <xf numFmtId="3" fontId="14" fillId="0" borderId="6" xfId="0" applyNumberFormat="1" applyFont="1" applyBorder="1" applyAlignment="1" applyProtection="1">
      <alignment horizontal="center"/>
      <protection hidden="1"/>
    </xf>
    <xf numFmtId="3" fontId="14" fillId="0" borderId="31" xfId="0" applyNumberFormat="1" applyFont="1" applyBorder="1" applyAlignment="1" applyProtection="1">
      <alignment horizontal="center"/>
      <protection hidden="1"/>
    </xf>
    <xf numFmtId="3" fontId="14" fillId="0" borderId="33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4" fillId="0" borderId="57" xfId="0" applyFont="1" applyFill="1" applyBorder="1" applyAlignment="1" applyProtection="1">
      <alignment horizontal="left"/>
      <protection hidden="1"/>
    </xf>
  </cellXfs>
  <cellStyles count="26">
    <cellStyle name="Comma" xfId="1"/>
    <cellStyle name="Comma[0]" xfId="2"/>
    <cellStyle name="Currency" xfId="3"/>
    <cellStyle name="Currency[0]" xfId="4"/>
    <cellStyle name="Euro" xfId="10"/>
    <cellStyle name="Excel Built-in Comma" xfId="13"/>
    <cellStyle name="Heading" xfId="14"/>
    <cellStyle name="Heading 1" xfId="15"/>
    <cellStyle name="Heading1" xfId="16"/>
    <cellStyle name="Heading1 2" xfId="17"/>
    <cellStyle name="Millares 2" xfId="23"/>
    <cellStyle name="Normal" xfId="0" builtinId="0"/>
    <cellStyle name="Normal 2" xfId="5"/>
    <cellStyle name="Normal 2 2" xfId="6"/>
    <cellStyle name="Normal 2 3" xfId="22"/>
    <cellStyle name="Normal 3" xfId="7"/>
    <cellStyle name="Normal 3 2" xfId="24"/>
    <cellStyle name="Normal 4" xfId="9"/>
    <cellStyle name="Normal 5" xfId="12"/>
    <cellStyle name="Percent" xfId="8"/>
    <cellStyle name="Porcentaje" xfId="11" builtinId="5"/>
    <cellStyle name="Porcentual 2" xfId="25"/>
    <cellStyle name="Result" xfId="18"/>
    <cellStyle name="Result 3" xfId="19"/>
    <cellStyle name="Result2" xfId="20"/>
    <cellStyle name="Result2 4" xfId="21"/>
  </cellStyles>
  <dxfs count="96"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font>
        <condense val="0"/>
        <extend val="0"/>
        <color rgb="FF9C0006"/>
      </font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>
      <tableStyleElement type="firstRowStripe" dxfId="95"/>
    </tableStyle>
  </tableStyles>
  <colors>
    <mruColors>
      <color rgb="FFFF6600"/>
      <color rgb="FF753805"/>
      <color rgb="FF800000"/>
      <color rgb="FFE2E2E2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1.1655629139072867E-2"/>
                  <c:y val="-3.5238698804735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1.0596026490066187E-2"/>
                  <c:y val="-2.649018580411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4"/>
              <c:layout>
                <c:manualLayout>
                  <c:x val="-1.0596026490067001E-3"/>
                  <c:y val="4.9906531467738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3-430B-ABDA-179C807568BF}"/>
                </c:ext>
              </c:extLst>
            </c:dLbl>
            <c:dLbl>
              <c:idx val="5"/>
              <c:layout>
                <c:manualLayout>
                  <c:x val="-8.4206705949836525E-3"/>
                  <c:y val="-2.24820143884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E-4C5D-A6DC-0996E19D5DE4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647653.59999999986</c:v>
                </c:pt>
                <c:pt idx="1">
                  <c:v>518916.06</c:v>
                </c:pt>
                <c:pt idx="2">
                  <c:v>570087.22000000009</c:v>
                </c:pt>
                <c:pt idx="3">
                  <c:v>598363.19999999995</c:v>
                </c:pt>
                <c:pt idx="4">
                  <c:v>565875.80999999982</c:v>
                </c:pt>
                <c:pt idx="5">
                  <c:v>634576.57000000007</c:v>
                </c:pt>
                <c:pt idx="6">
                  <c:v>616928.45000000019</c:v>
                </c:pt>
                <c:pt idx="7">
                  <c:v>525749.00999999989</c:v>
                </c:pt>
                <c:pt idx="8">
                  <c:v>598853.56000000006</c:v>
                </c:pt>
                <c:pt idx="9">
                  <c:v>580924.61999999988</c:v>
                </c:pt>
                <c:pt idx="10">
                  <c:v>568420.78999999969</c:v>
                </c:pt>
                <c:pt idx="11">
                  <c:v>700641.16999999993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2"/>
              <c:layout>
                <c:manualLayout>
                  <c:x val="1.1502599282787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E-4C5D-A6DC-0996E19D5DE4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4"/>
              <c:layout>
                <c:manualLayout>
                  <c:x val="1.0596026490066225E-3"/>
                  <c:y val="-1.3489208633093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8A-4A33-94EC-E2C0B64DA924}"/>
                </c:ext>
              </c:extLst>
            </c:dLbl>
            <c:dLbl>
              <c:idx val="5"/>
              <c:layout>
                <c:manualLayout>
                  <c:x val="7.1268118512213003E-3"/>
                  <c:y val="-8.7431353402724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7.3405433592322582E-3"/>
                  <c:y val="-9.1032685662493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dLbl>
              <c:idx val="10"/>
              <c:layout>
                <c:manualLayout>
                  <c:x val="8.4768211920529801E-3"/>
                  <c:y val="-4.4964028776978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A-4A33-94EC-E2C0B64DA924}"/>
                </c:ext>
              </c:extLst>
            </c:dLbl>
            <c:dLbl>
              <c:idx val="11"/>
              <c:layout>
                <c:manualLayout>
                  <c:x val="1.0596026490066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A-4A33-94EC-E2C0B64DA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612689.59999999986</c:v>
                </c:pt>
                <c:pt idx="1">
                  <c:v>552127.19000000006</c:v>
                </c:pt>
                <c:pt idx="2">
                  <c:v>587720.80000000016</c:v>
                </c:pt>
                <c:pt idx="3">
                  <c:v>554630.79999999993</c:v>
                </c:pt>
                <c:pt idx="4">
                  <c:v>559230.57999999996</c:v>
                </c:pt>
                <c:pt idx="5">
                  <c:v>610281.96999999986</c:v>
                </c:pt>
                <c:pt idx="6">
                  <c:v>607605.7799999998</c:v>
                </c:pt>
                <c:pt idx="7">
                  <c:v>534274.21999999986</c:v>
                </c:pt>
                <c:pt idx="8">
                  <c:v>578495.04</c:v>
                </c:pt>
                <c:pt idx="9">
                  <c:v>564257.18999999994</c:v>
                </c:pt>
                <c:pt idx="10">
                  <c:v>571530.71</c:v>
                </c:pt>
                <c:pt idx="11">
                  <c:v>642540.19999999995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598528"/>
        <c:axId val="82616704"/>
        <c:axId val="0"/>
      </c:bar3D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5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2.6104330492433901E-2"/>
                  <c:y val="-4.3808548321703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BB-4086-84FD-33181D7B1DB4}"/>
                </c:ext>
              </c:extLst>
            </c:dLbl>
            <c:dLbl>
              <c:idx val="1"/>
              <c:layout>
                <c:manualLayout>
                  <c:x val="-3.2528030133726758E-2"/>
                  <c:y val="-4.3808548321703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B-4086-84FD-33181D7B1DB4}"/>
                </c:ext>
              </c:extLst>
            </c:dLbl>
            <c:dLbl>
              <c:idx val="3"/>
              <c:layout>
                <c:manualLayout>
                  <c:x val="-2.8245563706198188E-2"/>
                  <c:y val="-4.797782078365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B-4086-84FD-33181D7B1DB4}"/>
                </c:ext>
              </c:extLst>
            </c:dLbl>
            <c:dLbl>
              <c:idx val="4"/>
              <c:layout>
                <c:manualLayout>
                  <c:x val="-2.6104330492433981E-2"/>
                  <c:y val="-3.130073093583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B-4086-84FD-33181D7B1DB4}"/>
                </c:ext>
              </c:extLst>
            </c:dLbl>
            <c:dLbl>
              <c:idx val="5"/>
              <c:layout>
                <c:manualLayout>
                  <c:x val="-2.8245563706198264E-2"/>
                  <c:y val="-4.797782078365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B-4086-84FD-33181D7B1DB4}"/>
                </c:ext>
              </c:extLst>
            </c:dLbl>
            <c:dLbl>
              <c:idx val="6"/>
              <c:layout>
                <c:manualLayout>
                  <c:x val="-2.8245563706198264E-2"/>
                  <c:y val="-4.380854832170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5-487B-9B53-EF765879F9A9}"/>
                </c:ext>
              </c:extLst>
            </c:dLbl>
            <c:dLbl>
              <c:idx val="7"/>
              <c:layout>
                <c:manualLayout>
                  <c:x val="-2.7174947099316043E-2"/>
                  <c:y val="-6.4654910631480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5-487B-9B53-EF765879F9A9}"/>
                </c:ext>
              </c:extLst>
            </c:dLbl>
            <c:dLbl>
              <c:idx val="8"/>
              <c:layout>
                <c:manualLayout>
                  <c:x val="-2.1821864064905331E-2"/>
                  <c:y val="-5.2147093245614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2.931618031308033E-2"/>
                  <c:y val="5.2147093245614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B-4086-84FD-33181D7B1DB4}"/>
                </c:ext>
              </c:extLst>
            </c:dLbl>
            <c:dLbl>
              <c:idx val="1"/>
              <c:layout>
                <c:manualLayout>
                  <c:x val="-3.1457413526844599E-2"/>
                  <c:y val="5.2147093245614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B-4086-84FD-33181D7B1DB4}"/>
                </c:ext>
              </c:extLst>
            </c:dLbl>
            <c:dLbl>
              <c:idx val="3"/>
              <c:layout>
                <c:manualLayout>
                  <c:x val="-2.8245563706198188E-2"/>
                  <c:y val="3.5470003397792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5-487B-9B53-EF765879F9A9}"/>
                </c:ext>
              </c:extLst>
            </c:dLbl>
            <c:dLbl>
              <c:idx val="4"/>
              <c:layout>
                <c:manualLayout>
                  <c:x val="-2.6716394419541604E-2"/>
                  <c:y val="4.5279283804346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14927223424215E-2"/>
                      <c:h val="4.70278178147095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75BB-4086-84FD-33181D7B1DB4}"/>
                </c:ext>
              </c:extLst>
            </c:dLbl>
            <c:dLbl>
              <c:idx val="5"/>
              <c:layout>
                <c:manualLayout>
                  <c:x val="-3.1457413526844613E-2"/>
                  <c:y val="3.1300730935837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B-4086-84FD-33181D7B1DB4}"/>
                </c:ext>
              </c:extLst>
            </c:dLbl>
            <c:dLbl>
              <c:idx val="6"/>
              <c:layout>
                <c:manualLayout>
                  <c:x val="-2.8245563706198264E-2"/>
                  <c:y val="6.048563816952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BB-4086-84FD-33181D7B1DB4}"/>
                </c:ext>
              </c:extLst>
            </c:dLbl>
            <c:dLbl>
              <c:idx val="7"/>
              <c:layout>
                <c:manualLayout>
                  <c:x val="-2.5033713885551839E-2"/>
                  <c:y val="3.130073093583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B-4086-84FD-33181D7B1DB4}"/>
                </c:ext>
              </c:extLst>
            </c:dLbl>
            <c:dLbl>
              <c:idx val="8"/>
              <c:layout>
                <c:manualLayout>
                  <c:x val="-2.3963097278669538E-2"/>
                  <c:y val="4.3808548321703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  <c:pt idx="10">
                  <c:v>492960</c:v>
                </c:pt>
                <c:pt idx="11">
                  <c:v>491620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catAx>
        <c:axId val="99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99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2.5482237568968578E-2"/>
                  <c:y val="-4.7883602326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3"/>
              <c:layout>
                <c:manualLayout>
                  <c:x val="-2.5482237568968568E-2"/>
                  <c:y val="-4.7883602326964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4"/>
              <c:layout>
                <c:manualLayout>
                  <c:x val="-2.9721321926747288E-2"/>
                  <c:y val="-4.7883602326964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A2-43E3-810B-BC39E569D40F}"/>
                </c:ext>
              </c:extLst>
            </c:dLbl>
            <c:dLbl>
              <c:idx val="5"/>
              <c:layout>
                <c:manualLayout>
                  <c:x val="-3.0781093016191967E-2"/>
                  <c:y val="-2.77601807875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dLbl>
              <c:idx val="6"/>
              <c:layout>
                <c:manualLayout>
                  <c:x val="-2.7601779747857928E-2"/>
                  <c:y val="-5.593297094273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2-43E3-810B-BC39E569D40F}"/>
                </c:ext>
              </c:extLst>
            </c:dLbl>
            <c:dLbl>
              <c:idx val="8"/>
              <c:layout>
                <c:manualLayout>
                  <c:x val="-2.7601779747857928E-2"/>
                  <c:y val="-6.3982339558495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A2-43E3-810B-BC39E569D40F}"/>
                </c:ext>
              </c:extLst>
            </c:dLbl>
            <c:dLbl>
              <c:idx val="9"/>
              <c:layout>
                <c:manualLayout>
                  <c:x val="-2.7601779747857928E-2"/>
                  <c:y val="-4.7883602326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A2-43E3-810B-BC39E569D40F}"/>
                </c:ext>
              </c:extLst>
            </c:dLbl>
            <c:dLbl>
              <c:idx val="11"/>
              <c:layout>
                <c:manualLayout>
                  <c:x val="-2.6542008658413246E-2"/>
                  <c:y val="-3.9834233711199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C8-4618-90E6-FCF6811BFF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647653.59999999986</c:v>
                </c:pt>
                <c:pt idx="1">
                  <c:v>518916.06</c:v>
                </c:pt>
                <c:pt idx="2">
                  <c:v>570087.22000000009</c:v>
                </c:pt>
                <c:pt idx="3">
                  <c:v>598363.19999999995</c:v>
                </c:pt>
                <c:pt idx="4">
                  <c:v>565875.80999999982</c:v>
                </c:pt>
                <c:pt idx="5">
                  <c:v>634576.57000000007</c:v>
                </c:pt>
                <c:pt idx="6">
                  <c:v>616928.45000000019</c:v>
                </c:pt>
                <c:pt idx="7">
                  <c:v>525749.00999999989</c:v>
                </c:pt>
                <c:pt idx="8">
                  <c:v>598853.56000000006</c:v>
                </c:pt>
                <c:pt idx="9">
                  <c:v>580924.61999999988</c:v>
                </c:pt>
                <c:pt idx="10">
                  <c:v>568420.78999999969</c:v>
                </c:pt>
                <c:pt idx="11">
                  <c:v>700641.16999999993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8661550837302607E-2"/>
                  <c:y val="6.39823395584953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3"/>
              <c:layout>
                <c:manualLayout>
                  <c:x val="-3.176400984001633E-2"/>
                  <c:y val="5.1908286634847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4"/>
              <c:layout>
                <c:manualLayout>
                  <c:x val="-3.2823780929461047E-2"/>
                  <c:y val="5.190828663484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A2-43E3-810B-BC39E569D40F}"/>
                </c:ext>
              </c:extLst>
            </c:dLbl>
            <c:dLbl>
              <c:idx val="5"/>
              <c:layout>
                <c:manualLayout>
                  <c:x val="-3.282378092946097E-2"/>
                  <c:y val="6.3982339558495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1764009840016288E-2"/>
                  <c:y val="7.203170817426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2-43E3-810B-BC39E569D40F}"/>
                </c:ext>
              </c:extLst>
            </c:dLbl>
            <c:dLbl>
              <c:idx val="8"/>
              <c:layout>
                <c:manualLayout>
                  <c:x val="-3.0704238750571686E-2"/>
                  <c:y val="5.593297094272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2-43E3-810B-BC39E569D40F}"/>
                </c:ext>
              </c:extLst>
            </c:dLbl>
            <c:dLbl>
              <c:idx val="9"/>
              <c:layout>
                <c:manualLayout>
                  <c:x val="-2.9644467661126928E-2"/>
                  <c:y val="6.398233955849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A2-43E3-810B-BC39E569D40F}"/>
                </c:ext>
              </c:extLst>
            </c:dLbl>
            <c:dLbl>
              <c:idx val="11"/>
              <c:layout>
                <c:manualLayout>
                  <c:x val="-2.858469657168225E-2"/>
                  <c:y val="7.203170817426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612689.59999999986</c:v>
                </c:pt>
                <c:pt idx="1">
                  <c:v>552127.19000000006</c:v>
                </c:pt>
                <c:pt idx="2">
                  <c:v>587720.80000000016</c:v>
                </c:pt>
                <c:pt idx="3">
                  <c:v>554630.79999999993</c:v>
                </c:pt>
                <c:pt idx="4">
                  <c:v>559230.57999999996</c:v>
                </c:pt>
                <c:pt idx="5">
                  <c:v>610281.96999999986</c:v>
                </c:pt>
                <c:pt idx="6">
                  <c:v>607605.7799999998</c:v>
                </c:pt>
                <c:pt idx="7">
                  <c:v>534274.21999999986</c:v>
                </c:pt>
                <c:pt idx="8">
                  <c:v>578495.04</c:v>
                </c:pt>
                <c:pt idx="9">
                  <c:v>564257.18999999994</c:v>
                </c:pt>
                <c:pt idx="10">
                  <c:v>571530.71</c:v>
                </c:pt>
                <c:pt idx="11">
                  <c:v>642540.19999999995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COMERCIAL'!$B$46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92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9-42AC-85FB-95B4FAE44B1A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9-42AC-85FB-95B4FAE44B1A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41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9-42AC-85FB-95B4FAE44B1A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COMERCIAL'!$C$4:$N$4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COMERCIAL'!$C$46:$N$46</c:f>
              <c:numCache>
                <c:formatCode>#,##0</c:formatCode>
                <c:ptCount val="12"/>
                <c:pt idx="0">
                  <c:v>117562.40000000001</c:v>
                </c:pt>
                <c:pt idx="1">
                  <c:v>113714.20000000001</c:v>
                </c:pt>
                <c:pt idx="2">
                  <c:v>76752.799999999988</c:v>
                </c:pt>
                <c:pt idx="3">
                  <c:v>44676.800000000003</c:v>
                </c:pt>
                <c:pt idx="4">
                  <c:v>71634.2</c:v>
                </c:pt>
                <c:pt idx="5">
                  <c:v>98263.43</c:v>
                </c:pt>
                <c:pt idx="6">
                  <c:v>115521.59999999999</c:v>
                </c:pt>
                <c:pt idx="7">
                  <c:v>68612.999999999985</c:v>
                </c:pt>
                <c:pt idx="8">
                  <c:v>109846.40000000001</c:v>
                </c:pt>
                <c:pt idx="9">
                  <c:v>110135.4</c:v>
                </c:pt>
                <c:pt idx="10">
                  <c:v>94519.2</c:v>
                </c:pt>
                <c:pt idx="11">
                  <c:v>113944.79999999999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COMERCIAL'!$B$45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COMERCIAL'!$C$4:$N$4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COMERCIAL'!$C$45:$N$45</c:f>
              <c:numCache>
                <c:formatCode>#,##0</c:formatCode>
                <c:ptCount val="12"/>
                <c:pt idx="0">
                  <c:v>91010.4</c:v>
                </c:pt>
                <c:pt idx="1">
                  <c:v>87912.8</c:v>
                </c:pt>
                <c:pt idx="2">
                  <c:v>97429.2</c:v>
                </c:pt>
                <c:pt idx="3">
                  <c:v>87691.199999999997</c:v>
                </c:pt>
                <c:pt idx="4">
                  <c:v>92410.4</c:v>
                </c:pt>
                <c:pt idx="5">
                  <c:v>94128</c:v>
                </c:pt>
                <c:pt idx="6">
                  <c:v>99633.2</c:v>
                </c:pt>
                <c:pt idx="7">
                  <c:v>71115.8</c:v>
                </c:pt>
                <c:pt idx="8">
                  <c:v>99149.97</c:v>
                </c:pt>
                <c:pt idx="9">
                  <c:v>97146.8</c:v>
                </c:pt>
                <c:pt idx="10">
                  <c:v>89768.8</c:v>
                </c:pt>
                <c:pt idx="11">
                  <c:v>107522.8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787328"/>
        <c:axId val="82793216"/>
        <c:axId val="0"/>
      </c:bar3D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278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COMERCIAL'!$B$46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3"/>
              <c:layout>
                <c:manualLayout>
                  <c:x val="-2.7034760491733787E-2"/>
                  <c:y val="5.1908286634847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7"/>
              <c:layout>
                <c:manualLayout>
                  <c:x val="-2.2795676133955067E-2"/>
                  <c:y val="4.385891801908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8-436F-8657-AFF00F69F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COMERCIAL'!$C$4:$N$4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COMERCIAL'!$C$46:$N$46</c:f>
              <c:numCache>
                <c:formatCode>#,##0</c:formatCode>
                <c:ptCount val="12"/>
                <c:pt idx="0">
                  <c:v>117562.40000000001</c:v>
                </c:pt>
                <c:pt idx="1">
                  <c:v>113714.20000000001</c:v>
                </c:pt>
                <c:pt idx="2">
                  <c:v>76752.799999999988</c:v>
                </c:pt>
                <c:pt idx="3">
                  <c:v>44676.800000000003</c:v>
                </c:pt>
                <c:pt idx="4">
                  <c:v>71634.2</c:v>
                </c:pt>
                <c:pt idx="5">
                  <c:v>98263.43</c:v>
                </c:pt>
                <c:pt idx="6">
                  <c:v>115521.59999999999</c:v>
                </c:pt>
                <c:pt idx="7">
                  <c:v>68612.999999999985</c:v>
                </c:pt>
                <c:pt idx="8">
                  <c:v>109846.40000000001</c:v>
                </c:pt>
                <c:pt idx="9">
                  <c:v>110135.4</c:v>
                </c:pt>
                <c:pt idx="10">
                  <c:v>94519.2</c:v>
                </c:pt>
                <c:pt idx="11">
                  <c:v>113944.79999999999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COMERCIAL'!$B$45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0676133955065706E-2"/>
                  <c:y val="-5.593297094273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18-436F-8657-AFF00F69FC84}"/>
                </c:ext>
              </c:extLst>
            </c:dLbl>
            <c:dLbl>
              <c:idx val="3"/>
              <c:layout>
                <c:manualLayout>
                  <c:x val="-2.3855447223399745E-2"/>
                  <c:y val="-5.1908286634847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2.8094531581178542E-2"/>
                  <c:y val="-4.385891801908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8-436F-8657-AFF00F69FC84}"/>
                </c:ext>
              </c:extLst>
            </c:dLbl>
            <c:dLbl>
              <c:idx val="7"/>
              <c:layout>
                <c:manualLayout>
                  <c:x val="-2.2795676133955067E-2"/>
                  <c:y val="-5.995765525061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18-436F-8657-AFF00F69F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COMERCIAL'!$C$4:$N$4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COMERCIAL'!$C$45:$N$45</c:f>
              <c:numCache>
                <c:formatCode>#,##0</c:formatCode>
                <c:ptCount val="12"/>
                <c:pt idx="0">
                  <c:v>91010.4</c:v>
                </c:pt>
                <c:pt idx="1">
                  <c:v>87912.8</c:v>
                </c:pt>
                <c:pt idx="2">
                  <c:v>97429.2</c:v>
                </c:pt>
                <c:pt idx="3">
                  <c:v>87691.199999999997</c:v>
                </c:pt>
                <c:pt idx="4">
                  <c:v>92410.4</c:v>
                </c:pt>
                <c:pt idx="5">
                  <c:v>94128</c:v>
                </c:pt>
                <c:pt idx="6">
                  <c:v>99633.2</c:v>
                </c:pt>
                <c:pt idx="7">
                  <c:v>71115.8</c:v>
                </c:pt>
                <c:pt idx="8">
                  <c:v>99149.97</c:v>
                </c:pt>
                <c:pt idx="9">
                  <c:v>97146.8</c:v>
                </c:pt>
                <c:pt idx="10">
                  <c:v>89768.8</c:v>
                </c:pt>
                <c:pt idx="11">
                  <c:v>107522.8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-1.0028709667368499E-2"/>
                  <c:y val="-4.5016995826341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597449.85999999987</c:v>
                </c:pt>
                <c:pt idx="1">
                  <c:v>526267.39999999991</c:v>
                </c:pt>
                <c:pt idx="2">
                  <c:v>599738.1399999999</c:v>
                </c:pt>
                <c:pt idx="3">
                  <c:v>634469.56000000006</c:v>
                </c:pt>
                <c:pt idx="4">
                  <c:v>632673.99999999988</c:v>
                </c:pt>
                <c:pt idx="5">
                  <c:v>666724.91999999981</c:v>
                </c:pt>
                <c:pt idx="6">
                  <c:v>647125.47000000009</c:v>
                </c:pt>
                <c:pt idx="7">
                  <c:v>582707.69000000006</c:v>
                </c:pt>
                <c:pt idx="8">
                  <c:v>607231.66999999993</c:v>
                </c:pt>
                <c:pt idx="9">
                  <c:v>629693.60999999987</c:v>
                </c:pt>
                <c:pt idx="10">
                  <c:v>620253.68000000017</c:v>
                </c:pt>
                <c:pt idx="11">
                  <c:v>658440.01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41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3"/>
              <c:layout>
                <c:manualLayout>
                  <c:x val="2.1652832297023267E-3"/>
                  <c:y val="-3.175803024479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14-4B98-8338-76A4026994F2}"/>
                </c:ext>
              </c:extLst>
            </c:dLbl>
            <c:dLbl>
              <c:idx val="4"/>
              <c:layout>
                <c:manualLayout>
                  <c:x val="-8.2908407224641214E-17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8-40C2-91ED-BF550D605C77}"/>
                </c:ext>
              </c:extLst>
            </c:dLbl>
            <c:dLbl>
              <c:idx val="5"/>
              <c:layout>
                <c:manualLayout>
                  <c:x val="4.0394724542981326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609328.2300000001</c:v>
                </c:pt>
                <c:pt idx="1">
                  <c:v>571196.96</c:v>
                </c:pt>
                <c:pt idx="2">
                  <c:v>651751.22</c:v>
                </c:pt>
                <c:pt idx="3">
                  <c:v>635148.75999999989</c:v>
                </c:pt>
                <c:pt idx="4">
                  <c:v>641992.59999999986</c:v>
                </c:pt>
                <c:pt idx="5">
                  <c:v>650793.76</c:v>
                </c:pt>
                <c:pt idx="6">
                  <c:v>659463.04</c:v>
                </c:pt>
                <c:pt idx="7">
                  <c:v>606557.29999999993</c:v>
                </c:pt>
                <c:pt idx="8">
                  <c:v>636501.04999999981</c:v>
                </c:pt>
                <c:pt idx="9">
                  <c:v>622553.81000000006</c:v>
                </c:pt>
                <c:pt idx="10">
                  <c:v>645165.98</c:v>
                </c:pt>
                <c:pt idx="11">
                  <c:v>630556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266368"/>
        <c:axId val="84268160"/>
        <c:axId val="0"/>
      </c:bar3D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266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5"/>
              <c:layout>
                <c:manualLayout>
                  <c:x val="-2.7755475123454339E-2"/>
                  <c:y val="-5.4448012756508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7-4D77-BC23-9E809329F5E2}"/>
                </c:ext>
              </c:extLst>
            </c:dLbl>
            <c:dLbl>
              <c:idx val="9"/>
              <c:layout>
                <c:manualLayout>
                  <c:x val="-2.9942450685207858E-2"/>
                  <c:y val="-4.9716480634248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7-4CCA-BAF4-3AEE344C2CBD}"/>
                </c:ext>
              </c:extLst>
            </c:dLbl>
            <c:dLbl>
              <c:idx val="11"/>
              <c:layout>
                <c:manualLayout>
                  <c:x val="-2.6661987342577582E-2"/>
                  <c:y val="-5.9179544878768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FF-4D40-BE52-51351C6D7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597449.85999999987</c:v>
                </c:pt>
                <c:pt idx="1">
                  <c:v>526267.39999999991</c:v>
                </c:pt>
                <c:pt idx="2">
                  <c:v>599738.1399999999</c:v>
                </c:pt>
                <c:pt idx="3">
                  <c:v>634469.56000000006</c:v>
                </c:pt>
                <c:pt idx="4">
                  <c:v>632673.99999999988</c:v>
                </c:pt>
                <c:pt idx="5">
                  <c:v>666724.91999999981</c:v>
                </c:pt>
                <c:pt idx="6">
                  <c:v>647125.47000000009</c:v>
                </c:pt>
                <c:pt idx="7">
                  <c:v>582707.69000000006</c:v>
                </c:pt>
                <c:pt idx="8">
                  <c:v>607231.66999999993</c:v>
                </c:pt>
                <c:pt idx="9">
                  <c:v>629693.60999999987</c:v>
                </c:pt>
                <c:pt idx="10">
                  <c:v>620253.68000000017</c:v>
                </c:pt>
                <c:pt idx="11">
                  <c:v>658440.01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5"/>
              <c:layout>
                <c:manualLayout>
                  <c:x val="-3.3222914027838134E-2"/>
                  <c:y val="8.2837205490067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9"/>
              <c:layout>
                <c:manualLayout>
                  <c:x val="-2.4475011780824063E-2"/>
                  <c:y val="4.97164806342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7-4CCA-BAF4-3AEE344C2CBD}"/>
                </c:ext>
              </c:extLst>
            </c:dLbl>
            <c:dLbl>
              <c:idx val="11"/>
              <c:layout>
                <c:manualLayout>
                  <c:x val="-2.6661987342577582E-2"/>
                  <c:y val="5.917954487876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609328.2300000001</c:v>
                </c:pt>
                <c:pt idx="1">
                  <c:v>571196.96</c:v>
                </c:pt>
                <c:pt idx="2">
                  <c:v>651751.22</c:v>
                </c:pt>
                <c:pt idx="3">
                  <c:v>635148.75999999989</c:v>
                </c:pt>
                <c:pt idx="4">
                  <c:v>641992.59999999986</c:v>
                </c:pt>
                <c:pt idx="5">
                  <c:v>650793.76</c:v>
                </c:pt>
                <c:pt idx="6">
                  <c:v>659463.04</c:v>
                </c:pt>
                <c:pt idx="7">
                  <c:v>606557.29999999993</c:v>
                </c:pt>
                <c:pt idx="8">
                  <c:v>636501.04999999981</c:v>
                </c:pt>
                <c:pt idx="9">
                  <c:v>622553.81000000006</c:v>
                </c:pt>
                <c:pt idx="10">
                  <c:v>645165.98</c:v>
                </c:pt>
                <c:pt idx="11">
                  <c:v>630556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048"/>
        <c:axId val="84211584"/>
      </c:lineChart>
      <c:catAx>
        <c:axId val="84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211584"/>
        <c:crosses val="autoZero"/>
        <c:auto val="1"/>
        <c:lblAlgn val="ctr"/>
        <c:lblOffset val="100"/>
        <c:noMultiLvlLbl val="0"/>
      </c:catAx>
      <c:valAx>
        <c:axId val="84211584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210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layout>
        <c:manualLayout>
          <c:xMode val="edge"/>
          <c:yMode val="edge"/>
          <c:x val="0.44579961695807324"/>
          <c:y val="2.380165537077169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9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715158.38000000012</c:v>
                </c:pt>
                <c:pt idx="1">
                  <c:v>444419.8600000001</c:v>
                </c:pt>
                <c:pt idx="2">
                  <c:v>553002.98999999976</c:v>
                </c:pt>
                <c:pt idx="3">
                  <c:v>509959.11999999994</c:v>
                </c:pt>
                <c:pt idx="4">
                  <c:v>462970.54000000004</c:v>
                </c:pt>
                <c:pt idx="5">
                  <c:v>606082.45000000007</c:v>
                </c:pt>
                <c:pt idx="6">
                  <c:v>665232.35</c:v>
                </c:pt>
                <c:pt idx="7">
                  <c:v>542675.20000000019</c:v>
                </c:pt>
                <c:pt idx="8">
                  <c:v>548264.05999999982</c:v>
                </c:pt>
                <c:pt idx="9">
                  <c:v>480047.67999999988</c:v>
                </c:pt>
                <c:pt idx="10">
                  <c:v>512420.74999999994</c:v>
                </c:pt>
                <c:pt idx="11">
                  <c:v>613171.46000000031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A-4BC8-BCC1-1579635832A5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624320.56999999995</c:v>
                </c:pt>
                <c:pt idx="1">
                  <c:v>457183.09</c:v>
                </c:pt>
                <c:pt idx="2">
                  <c:v>545729.31000000006</c:v>
                </c:pt>
                <c:pt idx="3">
                  <c:v>621077.87000000011</c:v>
                </c:pt>
                <c:pt idx="4">
                  <c:v>451311.60000000015</c:v>
                </c:pt>
                <c:pt idx="5">
                  <c:v>537072.03999999992</c:v>
                </c:pt>
                <c:pt idx="6">
                  <c:v>597192.22999999986</c:v>
                </c:pt>
                <c:pt idx="7">
                  <c:v>562194.68999999971</c:v>
                </c:pt>
                <c:pt idx="8">
                  <c:v>586630</c:v>
                </c:pt>
                <c:pt idx="9">
                  <c:v>509111.1700000001</c:v>
                </c:pt>
                <c:pt idx="10">
                  <c:v>550437.83000000007</c:v>
                </c:pt>
                <c:pt idx="11">
                  <c:v>555604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912768"/>
        <c:axId val="84935040"/>
        <c:axId val="0"/>
      </c:bar3DChart>
      <c:catAx>
        <c:axId val="849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935040"/>
        <c:crosses val="autoZero"/>
        <c:auto val="1"/>
        <c:lblAlgn val="ctr"/>
        <c:lblOffset val="100"/>
        <c:noMultiLvlLbl val="0"/>
      </c:catAx>
      <c:valAx>
        <c:axId val="8493504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912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2"/>
              <c:layout>
                <c:manualLayout>
                  <c:x val="-2.6091513841668707E-2"/>
                  <c:y val="-5.4337841399198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46-4C9A-BDE9-B668627AAB9D}"/>
                </c:ext>
              </c:extLst>
            </c:dLbl>
            <c:dLbl>
              <c:idx val="4"/>
              <c:layout>
                <c:manualLayout>
                  <c:x val="-2.6091513841668669E-2"/>
                  <c:y val="-5.836063766705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11"/>
              <c:layout>
                <c:manualLayout>
                  <c:x val="-3.0371877672594298E-2"/>
                  <c:y val="-3.0201063792046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F4-4325-A5CC-7E36E4F01D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715158.38000000012</c:v>
                </c:pt>
                <c:pt idx="1">
                  <c:v>444419.8600000001</c:v>
                </c:pt>
                <c:pt idx="2">
                  <c:v>553002.98999999976</c:v>
                </c:pt>
                <c:pt idx="3">
                  <c:v>509959.11999999994</c:v>
                </c:pt>
                <c:pt idx="4">
                  <c:v>462970.54000000004</c:v>
                </c:pt>
                <c:pt idx="5">
                  <c:v>606082.45000000007</c:v>
                </c:pt>
                <c:pt idx="6">
                  <c:v>665232.35</c:v>
                </c:pt>
                <c:pt idx="7">
                  <c:v>542675.20000000019</c:v>
                </c:pt>
                <c:pt idx="8">
                  <c:v>548264.05999999982</c:v>
                </c:pt>
                <c:pt idx="9">
                  <c:v>480047.67999999988</c:v>
                </c:pt>
                <c:pt idx="10">
                  <c:v>512420.74999999994</c:v>
                </c:pt>
                <c:pt idx="11">
                  <c:v>613171.46000000031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0371877672594298E-2"/>
                  <c:y val="6.6406230202774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46-4C9A-BDE9-B668627AAB9D}"/>
                </c:ext>
              </c:extLst>
            </c:dLbl>
            <c:dLbl>
              <c:idx val="2"/>
              <c:layout>
                <c:manualLayout>
                  <c:x val="-2.8231695757131484E-2"/>
                  <c:y val="6.23834339349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46-4C9A-BDE9-B668627AAB9D}"/>
                </c:ext>
              </c:extLst>
            </c:dLbl>
            <c:dLbl>
              <c:idx val="3"/>
              <c:layout>
                <c:manualLayout>
                  <c:x val="-2.8231695757131484E-2"/>
                  <c:y val="-7.036884290442092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4"/>
              <c:layout>
                <c:manualLayout>
                  <c:x val="-2.7161604799400076E-2"/>
                  <c:y val="5.0315045131339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F4-4325-A5CC-7E36E4F01D13}"/>
                </c:ext>
              </c:extLst>
            </c:dLbl>
            <c:dLbl>
              <c:idx val="5"/>
              <c:layout>
                <c:manualLayout>
                  <c:x val="-2.3951331926205854E-2"/>
                  <c:y val="7.44518227384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4-4325-A5CC-7E36E4F01D13}"/>
                </c:ext>
              </c:extLst>
            </c:dLbl>
            <c:dLbl>
              <c:idx val="6"/>
              <c:layout>
                <c:manualLayout>
                  <c:x val="-2.3951331926205854E-2"/>
                  <c:y val="3.4223860059904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11"/>
              <c:layout>
                <c:manualLayout>
                  <c:x val="-3.0371877672594298E-2"/>
                  <c:y val="4.6292248863480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624320.56999999995</c:v>
                </c:pt>
                <c:pt idx="1">
                  <c:v>457183.09</c:v>
                </c:pt>
                <c:pt idx="2">
                  <c:v>545729.31000000006</c:v>
                </c:pt>
                <c:pt idx="3">
                  <c:v>621077.87000000011</c:v>
                </c:pt>
                <c:pt idx="4">
                  <c:v>451311.60000000015</c:v>
                </c:pt>
                <c:pt idx="5">
                  <c:v>537072.03999999992</c:v>
                </c:pt>
                <c:pt idx="6">
                  <c:v>597192.22999999986</c:v>
                </c:pt>
                <c:pt idx="7">
                  <c:v>562194.68999999971</c:v>
                </c:pt>
                <c:pt idx="8">
                  <c:v>586630</c:v>
                </c:pt>
                <c:pt idx="9">
                  <c:v>509111.1700000001</c:v>
                </c:pt>
                <c:pt idx="10">
                  <c:v>550437.83000000007</c:v>
                </c:pt>
                <c:pt idx="11">
                  <c:v>555604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480"/>
        <c:axId val="84998016"/>
      </c:lineChart>
      <c:catAx>
        <c:axId val="84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998016"/>
        <c:crosses val="autoZero"/>
        <c:auto val="1"/>
        <c:lblAlgn val="ctr"/>
        <c:lblOffset val="100"/>
        <c:noMultiLvlLbl val="0"/>
      </c:catAx>
      <c:valAx>
        <c:axId val="849980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8499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C-4DDD-BD33-06A8ECC3BDFE}"/>
                </c:ext>
              </c:extLst>
            </c:dLbl>
            <c:dLbl>
              <c:idx val="1"/>
              <c:layout>
                <c:manualLayout>
                  <c:x val="3.78635101259635E-3"/>
                  <c:y val="-7.2021207769870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C-4DDD-BD33-06A8ECC3BDFE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C-4DDD-BD33-06A8ECC3BDFE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C-4DDD-BD33-06A8ECC3BDFE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C-4DDD-BD33-06A8ECC3BDFE}"/>
                </c:ext>
              </c:extLst>
            </c:dLbl>
            <c:dLbl>
              <c:idx val="5"/>
              <c:layout>
                <c:manualLayout>
                  <c:x val="4.4260027662517288E-3"/>
                  <c:y val="-1.60428492950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C-4DDD-BD33-06A8ECC3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0C-4DDD-BD33-06A8ECC3BDFE}"/>
                </c:ext>
              </c:extLst>
            </c:dLbl>
            <c:dLbl>
              <c:idx val="1"/>
              <c:layout>
                <c:manualLayout>
                  <c:x val="7.397538980018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0C-4DDD-BD33-06A8ECC3BDFE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0C-4DDD-BD33-06A8ECC3BDFE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C-4DDD-BD33-06A8ECC3BDFE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0C-4DDD-BD33-06A8ECC3BDFE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0C-4DDD-BD33-06A8ECC3BDFE}"/>
                </c:ext>
              </c:extLst>
            </c:dLbl>
            <c:dLbl>
              <c:idx val="8"/>
              <c:layout>
                <c:manualLayout>
                  <c:x val="4.5390070921988461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0C-4DDD-BD33-06A8ECC3BDFE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0C-4DDD-BD33-06A8ECC3BDFE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FC1-B9C8-1790480D0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  <c:pt idx="10">
                  <c:v>492960</c:v>
                </c:pt>
                <c:pt idx="11">
                  <c:v>491620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0010240"/>
        <c:axId val="100024320"/>
        <c:axId val="0"/>
      </c:bar3DChart>
      <c:catAx>
        <c:axId val="100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0001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51</xdr:row>
      <xdr:rowOff>26458</xdr:rowOff>
    </xdr:from>
    <xdr:to>
      <xdr:col>14</xdr:col>
      <xdr:colOff>378882</xdr:colOff>
      <xdr:row>66</xdr:row>
      <xdr:rowOff>74083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67</xdr:row>
      <xdr:rowOff>135467</xdr:rowOff>
    </xdr:from>
    <xdr:to>
      <xdr:col>14</xdr:col>
      <xdr:colOff>377825</xdr:colOff>
      <xdr:row>82</xdr:row>
      <xdr:rowOff>130175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185208</xdr:rowOff>
    </xdr:from>
    <xdr:to>
      <xdr:col>14</xdr:col>
      <xdr:colOff>504825</xdr:colOff>
      <xdr:row>67</xdr:row>
      <xdr:rowOff>84666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68</xdr:row>
      <xdr:rowOff>178858</xdr:rowOff>
    </xdr:from>
    <xdr:to>
      <xdr:col>14</xdr:col>
      <xdr:colOff>465667</xdr:colOff>
      <xdr:row>85</xdr:row>
      <xdr:rowOff>169333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1158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1158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4:O47" totalsRowShown="0" headerRowDxfId="94" dataDxfId="92" headerRowBorderDxfId="93" tableBorderDxfId="91" totalsRowBorderDxfId="90">
  <sortState ref="A5:O48">
    <sortCondition ref="A5:A48"/>
  </sortState>
  <tableColumns count="15">
    <tableColumn id="15" name="Núm." dataDxfId="89"/>
    <tableColumn id="1" name="Població" dataDxfId="88"/>
    <tableColumn id="2" name="Gener" dataDxfId="87"/>
    <tableColumn id="3" name="Febrer" dataDxfId="86"/>
    <tableColumn id="4" name="Març" dataDxfId="85"/>
    <tableColumn id="5" name="Abril" dataDxfId="84"/>
    <tableColumn id="6" name="Maig" dataDxfId="83"/>
    <tableColumn id="7" name="Juny" dataDxfId="82"/>
    <tableColumn id="8" name="Juliol" dataDxfId="81"/>
    <tableColumn id="9" name="Agost" dataDxfId="80"/>
    <tableColumn id="10" name="Setembre" dataDxfId="79"/>
    <tableColumn id="11" name="Octubre" dataDxfId="78"/>
    <tableColumn id="12" name="Novembre" dataDxfId="77"/>
    <tableColumn id="13" name="Desembre" dataDxfId="76"/>
    <tableColumn id="14" name="TOTAL" dataDxfId="7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25" displayName="Tabla25" ref="A4:O47" totalsRowShown="0" headerRowDxfId="74" dataDxfId="72" headerRowBorderDxfId="73" tableBorderDxfId="71" totalsRowBorderDxfId="70">
  <sortState ref="A5:O48">
    <sortCondition ref="A5:A48"/>
  </sortState>
  <tableColumns count="15">
    <tableColumn id="15" name="Núm." dataDxfId="69"/>
    <tableColumn id="1" name="Població" dataDxfId="68"/>
    <tableColumn id="2" name="Gener" dataDxfId="67"/>
    <tableColumn id="3" name="Febrer" dataDxfId="66"/>
    <tableColumn id="4" name="Març" dataDxfId="65"/>
    <tableColumn id="5" name="Abril" dataDxfId="64"/>
    <tableColumn id="6" name="Maig" dataDxfId="63"/>
    <tableColumn id="7" name="Juny" dataDxfId="62"/>
    <tableColumn id="8" name="Juliol" dataDxfId="61"/>
    <tableColumn id="9" name="Agost" dataDxfId="60"/>
    <tableColumn id="10" name="Setembre" dataDxfId="59"/>
    <tableColumn id="11" name="Octubre" dataDxfId="58"/>
    <tableColumn id="12" name="Novembre" dataDxfId="57"/>
    <tableColumn id="13" name="Desembre" dataDxfId="56"/>
    <tableColumn id="14" name="TOTAL" dataDxfId="5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:O47" totalsRowShown="0" headerRowDxfId="54" dataDxfId="53" tableBorderDxfId="52">
  <sortState ref="A5:O48">
    <sortCondition ref="A5:A48"/>
  </sortState>
  <tableColumns count="15">
    <tableColumn id="15" name="Núm. " dataDxfId="51"/>
    <tableColumn id="1" name="Població" dataDxfId="50"/>
    <tableColumn id="2" name="Gener" dataDxfId="49"/>
    <tableColumn id="3" name="Febrer" dataDxfId="48"/>
    <tableColumn id="4" name="Març" dataDxfId="47"/>
    <tableColumn id="5" name="Abril" dataDxfId="46"/>
    <tableColumn id="6" name="Maig" dataDxfId="45"/>
    <tableColumn id="7" name="Juny" dataDxfId="44"/>
    <tableColumn id="8" name="Juliol" dataDxfId="43"/>
    <tableColumn id="9" name="Agost" dataDxfId="42"/>
    <tableColumn id="10" name="Setembre" dataDxfId="41"/>
    <tableColumn id="11" name="Octubre" dataDxfId="40"/>
    <tableColumn id="12" name="Novembre" dataDxfId="39"/>
    <tableColumn id="13" name="Desembre" dataDxfId="38"/>
    <tableColumn id="14" name="TOTAL" dataDxfId="3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4:O47" totalsRowShown="0" headerRowDxfId="36" dataDxfId="35" tableBorderDxfId="34">
  <sortState ref="A5:O48">
    <sortCondition ref="A5:A48"/>
  </sortState>
  <tableColumns count="15">
    <tableColumn id="15" name="Núm." dataDxfId="33"/>
    <tableColumn id="1" name="Població" dataDxfId="32"/>
    <tableColumn id="2" name="Gener" dataDxfId="31"/>
    <tableColumn id="3" name="Febrer" dataDxfId="30"/>
    <tableColumn id="4" name="Març" dataDxfId="29"/>
    <tableColumn id="5" name="Abril" dataDxfId="28"/>
    <tableColumn id="6" name="Maig" dataDxfId="27"/>
    <tableColumn id="7" name="Juny" dataDxfId="26"/>
    <tableColumn id="8" name="Juliol" dataDxfId="25"/>
    <tableColumn id="9" name="Agost" dataDxfId="24"/>
    <tableColumn id="10" name="Setembre" dataDxfId="23"/>
    <tableColumn id="11" name="Octubre" dataDxfId="22"/>
    <tableColumn id="12" name="Novembre" dataDxfId="21"/>
    <tableColumn id="13" name="Desembre" dataDxfId="20"/>
    <tableColumn id="14" name="TOTAL" dataDxfId="19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8" name="Tabla8" displayName="Tabla8" ref="A3:O46" totalsRowShown="0" headerRowDxfId="17" dataDxfId="16" tableBorderDxfId="15">
  <sortState ref="A4:O47">
    <sortCondition ref="A4:A47"/>
  </sortState>
  <tableColumns count="15">
    <tableColumn id="15" name="Núm." dataDxfId="14"/>
    <tableColumn id="1" name="Població" dataDxfId="13"/>
    <tableColumn id="2" name="Gener" dataDxfId="12"/>
    <tableColumn id="3" name="Febrer" dataDxfId="11"/>
    <tableColumn id="4" name="Març" dataDxfId="10"/>
    <tableColumn id="5" name="Abril" dataDxfId="9"/>
    <tableColumn id="6" name="Maig" dataDxfId="8"/>
    <tableColumn id="7" name="Juny" dataDxfId="7"/>
    <tableColumn id="8" name="Juliol" dataDxfId="6"/>
    <tableColumn id="9" name="Agost" dataDxfId="5"/>
    <tableColumn id="10" name="Setembre" dataDxfId="4"/>
    <tableColumn id="11" name="Octubre" dataDxfId="3"/>
    <tableColumn id="12" name="Novembre" dataDxfId="2"/>
    <tableColumn id="13" name="Desembre" dataDxfId="1"/>
    <tableColumn id="14" name="TOTAL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showZeros="0" tabSelected="1" zoomScale="90" zoomScaleNormal="90" workbookViewId="0">
      <selection activeCell="G12" sqref="G12"/>
    </sheetView>
  </sheetViews>
  <sheetFormatPr baseColWidth="10" defaultColWidth="11.42578125" defaultRowHeight="15" x14ac:dyDescent="0.25"/>
  <cols>
    <col min="1" max="1" width="5.7109375" style="3" customWidth="1"/>
    <col min="2" max="2" width="26.140625" style="20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65</v>
      </c>
    </row>
    <row r="3" spans="1:15" ht="15.75" thickBot="1" x14ac:dyDescent="0.3">
      <c r="B3" s="3"/>
      <c r="C3" s="4" t="s">
        <v>64</v>
      </c>
    </row>
    <row r="4" spans="1:15" ht="15.75" thickBot="1" x14ac:dyDescent="0.3">
      <c r="A4" s="8" t="s">
        <v>58</v>
      </c>
      <c r="B4" s="23" t="s">
        <v>56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15" x14ac:dyDescent="0.25">
      <c r="A5" s="40">
        <v>1</v>
      </c>
      <c r="B5" s="45" t="s">
        <v>39</v>
      </c>
      <c r="C5" s="43">
        <v>15456.4</v>
      </c>
      <c r="D5" s="34">
        <v>13830.49</v>
      </c>
      <c r="E5" s="34">
        <v>16947.16</v>
      </c>
      <c r="F5" s="34">
        <v>15366.59</v>
      </c>
      <c r="G5" s="34">
        <v>14191.39</v>
      </c>
      <c r="H5" s="34">
        <v>17532.75</v>
      </c>
      <c r="I5" s="34">
        <v>16742.84</v>
      </c>
      <c r="J5" s="34">
        <v>15846.01</v>
      </c>
      <c r="K5" s="34">
        <v>14443.47</v>
      </c>
      <c r="L5" s="34">
        <v>14791.23</v>
      </c>
      <c r="M5" s="34">
        <v>14720</v>
      </c>
      <c r="N5" s="35">
        <v>16065</v>
      </c>
      <c r="O5" s="119">
        <f>SUM(Tabla2[[#This Row],[Gener]:[Desembre]])</f>
        <v>185933.33</v>
      </c>
    </row>
    <row r="6" spans="1:15" x14ac:dyDescent="0.25">
      <c r="A6" s="13">
        <v>2</v>
      </c>
      <c r="B6" s="46" t="s">
        <v>0</v>
      </c>
      <c r="C6" s="110">
        <v>13040.73</v>
      </c>
      <c r="D6" s="11">
        <v>11860</v>
      </c>
      <c r="E6" s="11">
        <v>12180</v>
      </c>
      <c r="F6" s="11">
        <v>11720</v>
      </c>
      <c r="G6" s="11">
        <v>11900</v>
      </c>
      <c r="H6" s="11">
        <v>16071.56</v>
      </c>
      <c r="I6" s="11">
        <v>13548.14</v>
      </c>
      <c r="J6" s="11">
        <v>15740</v>
      </c>
      <c r="K6" s="34">
        <v>11240</v>
      </c>
      <c r="L6" s="34">
        <v>12820</v>
      </c>
      <c r="M6" s="11">
        <v>11960</v>
      </c>
      <c r="N6" s="33">
        <v>12780</v>
      </c>
      <c r="O6" s="120">
        <f>SUM(Tabla2[[#This Row],[Gener]:[Desembre]])</f>
        <v>154860.43</v>
      </c>
    </row>
    <row r="7" spans="1:15" x14ac:dyDescent="0.25">
      <c r="A7" s="13">
        <v>3</v>
      </c>
      <c r="B7" s="46" t="s">
        <v>1</v>
      </c>
      <c r="C7" s="110">
        <v>40456.129999999997</v>
      </c>
      <c r="D7" s="11">
        <v>35433.69</v>
      </c>
      <c r="E7" s="11">
        <v>40980</v>
      </c>
      <c r="F7" s="11">
        <v>37880</v>
      </c>
      <c r="G7" s="11">
        <v>41580</v>
      </c>
      <c r="H7" s="11">
        <v>39370</v>
      </c>
      <c r="I7" s="11">
        <v>40300</v>
      </c>
      <c r="J7" s="11">
        <v>38020</v>
      </c>
      <c r="K7" s="34">
        <v>39740</v>
      </c>
      <c r="L7" s="34">
        <v>41440</v>
      </c>
      <c r="M7" s="11">
        <v>39980</v>
      </c>
      <c r="N7" s="33">
        <v>44041</v>
      </c>
      <c r="O7" s="120">
        <f>SUM(Tabla2[[#This Row],[Gener]:[Desembre]])</f>
        <v>479220.82</v>
      </c>
    </row>
    <row r="8" spans="1:15" x14ac:dyDescent="0.25">
      <c r="A8" s="13">
        <v>4</v>
      </c>
      <c r="B8" s="46" t="s">
        <v>2</v>
      </c>
      <c r="C8" s="110">
        <v>1012.93</v>
      </c>
      <c r="D8" s="11">
        <v>914.39</v>
      </c>
      <c r="E8" s="11">
        <v>1062.56</v>
      </c>
      <c r="F8" s="11">
        <v>1327.29</v>
      </c>
      <c r="G8" s="11">
        <v>961.26</v>
      </c>
      <c r="H8" s="11">
        <v>1325.36</v>
      </c>
      <c r="I8" s="11">
        <v>1189.3800000000001</v>
      </c>
      <c r="J8" s="11">
        <v>1226.46</v>
      </c>
      <c r="K8" s="34">
        <v>1576.03</v>
      </c>
      <c r="L8" s="34">
        <v>1238.33</v>
      </c>
      <c r="M8" s="11">
        <v>1184.8599999999999</v>
      </c>
      <c r="N8" s="33">
        <v>1345</v>
      </c>
      <c r="O8" s="120">
        <f>SUM(Tabla2[[#This Row],[Gener]:[Desembre]])</f>
        <v>14363.850000000002</v>
      </c>
    </row>
    <row r="9" spans="1:15" x14ac:dyDescent="0.25">
      <c r="A9" s="13">
        <v>5</v>
      </c>
      <c r="B9" s="46" t="s">
        <v>3</v>
      </c>
      <c r="C9" s="110">
        <v>24190</v>
      </c>
      <c r="D9" s="11">
        <v>20020</v>
      </c>
      <c r="E9" s="11">
        <v>20720</v>
      </c>
      <c r="F9" s="11">
        <v>20220</v>
      </c>
      <c r="G9" s="11">
        <v>18940</v>
      </c>
      <c r="H9" s="11">
        <v>23000</v>
      </c>
      <c r="I9" s="11">
        <v>23340</v>
      </c>
      <c r="J9" s="11">
        <v>18000</v>
      </c>
      <c r="K9" s="34">
        <v>19840</v>
      </c>
      <c r="L9" s="34">
        <v>20500</v>
      </c>
      <c r="M9" s="11">
        <v>19680</v>
      </c>
      <c r="N9" s="33">
        <v>20080</v>
      </c>
      <c r="O9" s="120">
        <f>SUM(Tabla2[[#This Row],[Gener]:[Desembre]])</f>
        <v>248530</v>
      </c>
    </row>
    <row r="10" spans="1:15" x14ac:dyDescent="0.25">
      <c r="A10" s="13">
        <v>6</v>
      </c>
      <c r="B10" s="46" t="s">
        <v>4</v>
      </c>
      <c r="C10" s="110">
        <v>35071.06</v>
      </c>
      <c r="D10" s="11">
        <v>34190.18</v>
      </c>
      <c r="E10" s="11">
        <v>37458.35</v>
      </c>
      <c r="F10" s="11">
        <v>34340.49</v>
      </c>
      <c r="G10" s="11">
        <v>36372.21</v>
      </c>
      <c r="H10" s="11">
        <v>36249.910000000003</v>
      </c>
      <c r="I10" s="11">
        <v>39082.69</v>
      </c>
      <c r="J10" s="11">
        <v>31794.26</v>
      </c>
      <c r="K10" s="34">
        <v>34077.15</v>
      </c>
      <c r="L10" s="34">
        <v>33336.29</v>
      </c>
      <c r="M10" s="11">
        <v>34337.19</v>
      </c>
      <c r="N10" s="33">
        <v>38888</v>
      </c>
      <c r="O10" s="120">
        <f>SUM(Tabla2[[#This Row],[Gener]:[Desembre]])</f>
        <v>425197.77999999997</v>
      </c>
    </row>
    <row r="11" spans="1:15" x14ac:dyDescent="0.25">
      <c r="A11" s="13">
        <v>8</v>
      </c>
      <c r="B11" s="48" t="s">
        <v>7</v>
      </c>
      <c r="C11" s="110">
        <v>1467.88</v>
      </c>
      <c r="D11" s="11">
        <v>1390.58</v>
      </c>
      <c r="E11" s="11">
        <v>1491.14</v>
      </c>
      <c r="F11" s="11">
        <v>2318.56</v>
      </c>
      <c r="G11" s="11">
        <v>1710.12</v>
      </c>
      <c r="H11" s="11">
        <v>2607.39</v>
      </c>
      <c r="I11" s="11">
        <v>2103.9499999999998</v>
      </c>
      <c r="J11" s="11">
        <v>2243.7800000000002</v>
      </c>
      <c r="K11" s="34">
        <v>2665.15</v>
      </c>
      <c r="L11" s="34">
        <v>1913.84</v>
      </c>
      <c r="M11" s="11">
        <v>1917.86</v>
      </c>
      <c r="N11" s="33">
        <v>2234</v>
      </c>
      <c r="O11" s="121">
        <f>SUM(Tabla2[[#This Row],[Gener]:[Desembre]])</f>
        <v>24064.25</v>
      </c>
    </row>
    <row r="12" spans="1:15" x14ac:dyDescent="0.25">
      <c r="A12" s="13">
        <v>9</v>
      </c>
      <c r="B12" s="47" t="s">
        <v>40</v>
      </c>
      <c r="C12" s="110">
        <v>0</v>
      </c>
      <c r="D12" s="11">
        <v>0</v>
      </c>
      <c r="E12" s="11"/>
      <c r="F12" s="11">
        <v>0</v>
      </c>
      <c r="G12" s="11"/>
      <c r="H12" s="11"/>
      <c r="I12" s="11"/>
      <c r="J12" s="11">
        <v>0</v>
      </c>
      <c r="K12" s="11">
        <v>0</v>
      </c>
      <c r="L12" s="11">
        <v>0</v>
      </c>
      <c r="M12" s="11"/>
      <c r="N12" s="11"/>
      <c r="O12" s="120">
        <f>SUM(Tabla2[[#This Row],[Gener]:[Desembre]])</f>
        <v>0</v>
      </c>
    </row>
    <row r="13" spans="1:15" x14ac:dyDescent="0.25">
      <c r="A13" s="13">
        <v>10</v>
      </c>
      <c r="B13" s="45" t="s">
        <v>41</v>
      </c>
      <c r="C13" s="110">
        <v>33983.589999999997</v>
      </c>
      <c r="D13" s="11">
        <v>29587.5</v>
      </c>
      <c r="E13" s="11">
        <v>32232.69</v>
      </c>
      <c r="F13" s="11">
        <v>27688.76</v>
      </c>
      <c r="G13" s="11">
        <v>28493.7</v>
      </c>
      <c r="H13" s="11">
        <v>29373.8</v>
      </c>
      <c r="I13" s="11">
        <v>31140.33</v>
      </c>
      <c r="J13" s="11">
        <v>27406.52</v>
      </c>
      <c r="K13" s="34">
        <v>28716.57</v>
      </c>
      <c r="L13" s="34">
        <v>29945.09</v>
      </c>
      <c r="M13" s="11">
        <v>30727.17</v>
      </c>
      <c r="N13" s="33">
        <v>33891</v>
      </c>
      <c r="O13" s="119">
        <f>SUM(Tabla2[[#This Row],[Gener]:[Desembre]])</f>
        <v>363186.72</v>
      </c>
    </row>
    <row r="14" spans="1:15" x14ac:dyDescent="0.25">
      <c r="A14" s="13">
        <v>11</v>
      </c>
      <c r="B14" s="46" t="s">
        <v>9</v>
      </c>
      <c r="C14" s="110">
        <v>108707.83</v>
      </c>
      <c r="D14" s="11">
        <v>97850.63</v>
      </c>
      <c r="E14" s="11">
        <v>100705.69</v>
      </c>
      <c r="F14" s="11">
        <v>90994.23</v>
      </c>
      <c r="G14" s="11">
        <v>98221.94</v>
      </c>
      <c r="H14" s="11">
        <v>101006.22</v>
      </c>
      <c r="I14" s="11">
        <v>104179.39</v>
      </c>
      <c r="J14" s="11">
        <v>85850.07</v>
      </c>
      <c r="K14" s="34">
        <v>101266.18</v>
      </c>
      <c r="L14" s="34">
        <v>95544.33</v>
      </c>
      <c r="M14" s="11">
        <v>99791.679999999993</v>
      </c>
      <c r="N14" s="33">
        <v>112077</v>
      </c>
      <c r="O14" s="120">
        <f>SUM(Tabla2[[#This Row],[Gener]:[Desembre]])</f>
        <v>1196195.19</v>
      </c>
    </row>
    <row r="15" spans="1:15" x14ac:dyDescent="0.25">
      <c r="A15" s="13">
        <v>12</v>
      </c>
      <c r="B15" s="46" t="s">
        <v>10</v>
      </c>
      <c r="C15" s="110">
        <v>3351.01</v>
      </c>
      <c r="D15" s="11">
        <v>3309.36</v>
      </c>
      <c r="E15" s="11">
        <v>4449.6099999999997</v>
      </c>
      <c r="F15" s="11">
        <v>3522.11</v>
      </c>
      <c r="G15" s="11">
        <v>3957.11</v>
      </c>
      <c r="H15" s="11">
        <v>5126.4399999999996</v>
      </c>
      <c r="I15" s="11">
        <v>3972.68</v>
      </c>
      <c r="J15" s="11">
        <v>4171.07</v>
      </c>
      <c r="K15" s="34">
        <v>5296.67</v>
      </c>
      <c r="L15" s="34">
        <v>3555.2</v>
      </c>
      <c r="M15" s="11">
        <v>4501.13</v>
      </c>
      <c r="N15" s="33">
        <v>5531</v>
      </c>
      <c r="O15" s="120">
        <f>SUM(Tabla2[[#This Row],[Gener]:[Desembre]])</f>
        <v>50743.389999999992</v>
      </c>
    </row>
    <row r="16" spans="1:15" x14ac:dyDescent="0.25">
      <c r="A16" s="13">
        <v>13</v>
      </c>
      <c r="B16" s="47" t="s">
        <v>42</v>
      </c>
      <c r="C16" s="110">
        <v>22820</v>
      </c>
      <c r="D16" s="11">
        <v>24200</v>
      </c>
      <c r="E16" s="11">
        <v>20680</v>
      </c>
      <c r="F16" s="11">
        <v>21060</v>
      </c>
      <c r="G16" s="11">
        <v>17130</v>
      </c>
      <c r="H16" s="11">
        <v>19733.75</v>
      </c>
      <c r="I16" s="11">
        <v>21140</v>
      </c>
      <c r="J16" s="11">
        <v>16540</v>
      </c>
      <c r="K16" s="34">
        <v>19340</v>
      </c>
      <c r="L16" s="34">
        <v>16640</v>
      </c>
      <c r="M16" s="11">
        <v>19140</v>
      </c>
      <c r="N16" s="33">
        <v>17800</v>
      </c>
      <c r="O16" s="120">
        <f>SUM(Tabla2[[#This Row],[Gener]:[Desembre]])</f>
        <v>236223.75</v>
      </c>
    </row>
    <row r="17" spans="1:15" x14ac:dyDescent="0.25">
      <c r="A17" s="13">
        <v>14</v>
      </c>
      <c r="B17" s="46" t="s">
        <v>11</v>
      </c>
      <c r="C17" s="110">
        <v>0</v>
      </c>
      <c r="D17" s="11">
        <v>0</v>
      </c>
      <c r="E17" s="11"/>
      <c r="F17" s="11">
        <v>0</v>
      </c>
      <c r="G17" s="11"/>
      <c r="H17" s="11"/>
      <c r="I17" s="11"/>
      <c r="J17" s="11">
        <v>0</v>
      </c>
      <c r="K17" s="34">
        <v>0</v>
      </c>
      <c r="L17" s="34">
        <v>0</v>
      </c>
      <c r="M17" s="11"/>
      <c r="N17" s="33"/>
      <c r="O17" s="120">
        <f>SUM(Tabla2[[#This Row],[Gener]:[Desembre]])</f>
        <v>0</v>
      </c>
    </row>
    <row r="18" spans="1:15" x14ac:dyDescent="0.25">
      <c r="A18" s="13">
        <v>15</v>
      </c>
      <c r="B18" s="46" t="s">
        <v>12</v>
      </c>
      <c r="C18" s="110">
        <v>10976.06</v>
      </c>
      <c r="D18" s="11">
        <v>10093.76</v>
      </c>
      <c r="E18" s="11">
        <v>11534.81</v>
      </c>
      <c r="F18" s="11">
        <v>13593.24</v>
      </c>
      <c r="G18" s="11">
        <v>10244.030000000001</v>
      </c>
      <c r="H18" s="11">
        <v>11114.14</v>
      </c>
      <c r="I18" s="11">
        <v>14532.28</v>
      </c>
      <c r="J18" s="11">
        <v>11077.31</v>
      </c>
      <c r="K18" s="34">
        <v>13827.96</v>
      </c>
      <c r="L18" s="34">
        <v>14568.93</v>
      </c>
      <c r="M18" s="11">
        <v>13900</v>
      </c>
      <c r="N18" s="33">
        <v>14700</v>
      </c>
      <c r="O18" s="120">
        <f>SUM(Tabla2[[#This Row],[Gener]:[Desembre]])</f>
        <v>150162.51999999999</v>
      </c>
    </row>
    <row r="19" spans="1:15" x14ac:dyDescent="0.25">
      <c r="A19" s="13">
        <v>16</v>
      </c>
      <c r="B19" s="46" t="s">
        <v>13</v>
      </c>
      <c r="C19" s="110">
        <v>0</v>
      </c>
      <c r="D19" s="11">
        <v>0</v>
      </c>
      <c r="E19" s="11"/>
      <c r="F19" s="11">
        <v>0</v>
      </c>
      <c r="G19" s="11"/>
      <c r="H19" s="11"/>
      <c r="I19" s="11"/>
      <c r="J19" s="11">
        <v>0</v>
      </c>
      <c r="K19" s="34">
        <v>0</v>
      </c>
      <c r="L19" s="34">
        <v>0</v>
      </c>
      <c r="M19" s="11"/>
      <c r="N19" s="33"/>
      <c r="O19" s="120">
        <f>SUM(Tabla2[[#This Row],[Gener]:[Desembre]])</f>
        <v>0</v>
      </c>
    </row>
    <row r="20" spans="1:15" x14ac:dyDescent="0.25">
      <c r="A20" s="13">
        <v>17</v>
      </c>
      <c r="B20" s="46" t="s">
        <v>14</v>
      </c>
      <c r="C20" s="110">
        <v>15216.5</v>
      </c>
      <c r="D20" s="11">
        <v>12918.44</v>
      </c>
      <c r="E20" s="11">
        <v>14590.4</v>
      </c>
      <c r="F20" s="11">
        <v>12634.15</v>
      </c>
      <c r="G20" s="11">
        <v>12169.59</v>
      </c>
      <c r="H20" s="11">
        <v>12455.01</v>
      </c>
      <c r="I20" s="11">
        <v>13718.31</v>
      </c>
      <c r="J20" s="11">
        <v>10365.290000000001</v>
      </c>
      <c r="K20" s="34">
        <v>12666.18</v>
      </c>
      <c r="L20" s="34">
        <v>12284.690000000002</v>
      </c>
      <c r="M20" s="11">
        <v>12248.83</v>
      </c>
      <c r="N20" s="33">
        <v>14294</v>
      </c>
      <c r="O20" s="120">
        <f>SUM(Tabla2[[#This Row],[Gener]:[Desembre]])</f>
        <v>155561.38999999998</v>
      </c>
    </row>
    <row r="21" spans="1:15" x14ac:dyDescent="0.25">
      <c r="A21" s="13">
        <v>18</v>
      </c>
      <c r="B21" s="46" t="s">
        <v>15</v>
      </c>
      <c r="C21" s="110">
        <v>90909.31</v>
      </c>
      <c r="D21" s="11">
        <v>83205.52</v>
      </c>
      <c r="E21" s="11">
        <v>82582.100000000006</v>
      </c>
      <c r="F21" s="11">
        <v>79941.16</v>
      </c>
      <c r="G21" s="11">
        <v>84689.42</v>
      </c>
      <c r="H21" s="11">
        <v>84082.78</v>
      </c>
      <c r="I21" s="11">
        <v>85802.69</v>
      </c>
      <c r="J21" s="11">
        <v>72217.91</v>
      </c>
      <c r="K21" s="34">
        <v>86661.34</v>
      </c>
      <c r="L21" s="34">
        <v>90966.28</v>
      </c>
      <c r="M21" s="11">
        <v>83738.509999999995</v>
      </c>
      <c r="N21" s="33">
        <v>102627</v>
      </c>
      <c r="O21" s="120">
        <f>SUM(Tabla2[[#This Row],[Gener]:[Desembre]])</f>
        <v>1027424.02</v>
      </c>
    </row>
    <row r="22" spans="1:15" x14ac:dyDescent="0.25">
      <c r="A22" s="13">
        <v>19</v>
      </c>
      <c r="B22" s="46" t="s">
        <v>16</v>
      </c>
      <c r="C22" s="110">
        <v>15207.69</v>
      </c>
      <c r="D22" s="11">
        <v>12930.05</v>
      </c>
      <c r="E22" s="11">
        <v>14221.16</v>
      </c>
      <c r="F22" s="11">
        <v>12992.1</v>
      </c>
      <c r="G22" s="11">
        <v>11937.68</v>
      </c>
      <c r="H22" s="11">
        <v>14224.19</v>
      </c>
      <c r="I22" s="11">
        <v>13759.84</v>
      </c>
      <c r="J22" s="11">
        <v>12134.92</v>
      </c>
      <c r="K22" s="34">
        <v>11577.65</v>
      </c>
      <c r="L22" s="34">
        <v>12718.18</v>
      </c>
      <c r="M22" s="11">
        <v>13026.9</v>
      </c>
      <c r="N22" s="33">
        <v>14650</v>
      </c>
      <c r="O22" s="120">
        <f>SUM(Tabla2[[#This Row],[Gener]:[Desembre]])</f>
        <v>159380.35999999999</v>
      </c>
    </row>
    <row r="23" spans="1:15" x14ac:dyDescent="0.25">
      <c r="A23" s="13">
        <v>20</v>
      </c>
      <c r="B23" s="46" t="s">
        <v>17</v>
      </c>
      <c r="C23" s="110">
        <v>0</v>
      </c>
      <c r="D23" s="11">
        <v>0</v>
      </c>
      <c r="E23" s="11"/>
      <c r="F23" s="11">
        <v>0</v>
      </c>
      <c r="G23" s="11"/>
      <c r="H23" s="11"/>
      <c r="I23" s="11"/>
      <c r="J23" s="11">
        <v>0</v>
      </c>
      <c r="K23" s="34">
        <v>0</v>
      </c>
      <c r="L23" s="34">
        <v>0</v>
      </c>
      <c r="M23" s="11"/>
      <c r="N23" s="33"/>
      <c r="O23" s="120">
        <f>SUM(Tabla2[[#This Row],[Gener]:[Desembre]])</f>
        <v>0</v>
      </c>
    </row>
    <row r="24" spans="1:15" x14ac:dyDescent="0.25">
      <c r="A24" s="13">
        <v>21</v>
      </c>
      <c r="B24" s="46" t="s">
        <v>18</v>
      </c>
      <c r="C24" s="110">
        <v>820.61</v>
      </c>
      <c r="D24" s="11">
        <v>791.75</v>
      </c>
      <c r="E24" s="11">
        <v>783.69</v>
      </c>
      <c r="F24" s="11">
        <v>1159.95</v>
      </c>
      <c r="G24" s="11">
        <v>912.13</v>
      </c>
      <c r="H24" s="11">
        <v>1362.91</v>
      </c>
      <c r="I24" s="11">
        <v>1095.3599999999999</v>
      </c>
      <c r="J24" s="11">
        <v>1203.9100000000001</v>
      </c>
      <c r="K24" s="34">
        <v>1281.8499999999999</v>
      </c>
      <c r="L24" s="34">
        <v>935.75</v>
      </c>
      <c r="M24" s="11">
        <v>1020</v>
      </c>
      <c r="N24" s="33">
        <v>1107</v>
      </c>
      <c r="O24" s="120">
        <f>SUM(Tabla2[[#This Row],[Gener]:[Desembre]])</f>
        <v>12474.91</v>
      </c>
    </row>
    <row r="25" spans="1:15" x14ac:dyDescent="0.25">
      <c r="A25" s="13">
        <v>22</v>
      </c>
      <c r="B25" s="46" t="s">
        <v>19</v>
      </c>
      <c r="C25" s="110">
        <v>28028.79</v>
      </c>
      <c r="D25" s="11">
        <v>22702.239999999998</v>
      </c>
      <c r="E25" s="11">
        <v>25651.24</v>
      </c>
      <c r="F25" s="11">
        <v>24975.98</v>
      </c>
      <c r="G25" s="11">
        <v>24657.38</v>
      </c>
      <c r="H25" s="11">
        <v>24305.39</v>
      </c>
      <c r="I25" s="11">
        <v>27050.91</v>
      </c>
      <c r="J25" s="11">
        <v>22001.29</v>
      </c>
      <c r="K25" s="34">
        <v>25360.44</v>
      </c>
      <c r="L25" s="34">
        <v>24365.06</v>
      </c>
      <c r="M25" s="11">
        <v>27245.119999999999</v>
      </c>
      <c r="N25" s="33">
        <v>29654</v>
      </c>
      <c r="O25" s="120">
        <f>SUM(Tabla2[[#This Row],[Gener]:[Desembre]])</f>
        <v>305997.84000000003</v>
      </c>
    </row>
    <row r="26" spans="1:15" x14ac:dyDescent="0.25">
      <c r="A26" s="13">
        <v>23</v>
      </c>
      <c r="B26" s="47" t="s">
        <v>43</v>
      </c>
      <c r="C26" s="110">
        <v>15899.33</v>
      </c>
      <c r="D26" s="11">
        <v>14680</v>
      </c>
      <c r="E26" s="11">
        <v>16490</v>
      </c>
      <c r="F26" s="11">
        <v>14810</v>
      </c>
      <c r="G26" s="11">
        <v>13540</v>
      </c>
      <c r="H26" s="11">
        <v>18070</v>
      </c>
      <c r="I26" s="11">
        <v>15840</v>
      </c>
      <c r="J26" s="11">
        <v>16510</v>
      </c>
      <c r="K26" s="34">
        <v>14920</v>
      </c>
      <c r="L26" s="34">
        <v>15984</v>
      </c>
      <c r="M26" s="11">
        <v>17240</v>
      </c>
      <c r="N26" s="33">
        <v>16660</v>
      </c>
      <c r="O26" s="120">
        <f>SUM(Tabla2[[#This Row],[Gener]:[Desembre]])</f>
        <v>190643.33000000002</v>
      </c>
    </row>
    <row r="27" spans="1:15" x14ac:dyDescent="0.25">
      <c r="A27" s="13">
        <v>24</v>
      </c>
      <c r="B27" s="47" t="s">
        <v>44</v>
      </c>
      <c r="C27" s="115">
        <v>11807.72</v>
      </c>
      <c r="D27" s="116">
        <v>9407.17</v>
      </c>
      <c r="E27" s="116">
        <v>9520.08</v>
      </c>
      <c r="F27" s="116">
        <v>10454.4</v>
      </c>
      <c r="G27" s="116">
        <v>11123.78</v>
      </c>
      <c r="H27" s="116">
        <v>9921.52</v>
      </c>
      <c r="I27" s="117">
        <v>12760.64</v>
      </c>
      <c r="J27" s="116">
        <v>8986.5400000000009</v>
      </c>
      <c r="K27" s="34">
        <v>10647.36</v>
      </c>
      <c r="L27" s="34">
        <v>9647.89</v>
      </c>
      <c r="M27" s="11">
        <v>9574.01</v>
      </c>
      <c r="N27" s="33">
        <v>12531</v>
      </c>
      <c r="O27" s="120">
        <f>SUM(Tabla2[[#This Row],[Gener]:[Desembre]])</f>
        <v>126382.11</v>
      </c>
    </row>
    <row r="28" spans="1:15" x14ac:dyDescent="0.25">
      <c r="A28" s="13">
        <v>25</v>
      </c>
      <c r="B28" s="46" t="s">
        <v>20</v>
      </c>
      <c r="C28" s="110">
        <v>33279.47</v>
      </c>
      <c r="D28" s="150">
        <v>31435.91</v>
      </c>
      <c r="E28" s="150">
        <v>32836.339999999997</v>
      </c>
      <c r="F28" s="150">
        <v>33250.639999999999</v>
      </c>
      <c r="G28" s="150">
        <v>31495.05</v>
      </c>
      <c r="H28" s="150">
        <v>37828.11</v>
      </c>
      <c r="I28" s="150">
        <v>33607.360000000001</v>
      </c>
      <c r="J28" s="150">
        <f>29891.44+3540</f>
        <v>33431.440000000002</v>
      </c>
      <c r="K28" s="151">
        <v>35790.33</v>
      </c>
      <c r="L28" s="151">
        <v>33207.72</v>
      </c>
      <c r="M28" s="150">
        <v>35815</v>
      </c>
      <c r="N28" s="152">
        <v>36706</v>
      </c>
      <c r="O28" s="120">
        <f>SUM(Tabla2[[#This Row],[Gener]:[Desembre]])</f>
        <v>408683.37</v>
      </c>
    </row>
    <row r="29" spans="1:15" x14ac:dyDescent="0.25">
      <c r="A29" s="13">
        <v>26</v>
      </c>
      <c r="B29" s="47" t="s">
        <v>45</v>
      </c>
      <c r="C29" s="110">
        <v>5489.5999999999995</v>
      </c>
      <c r="D29" s="11">
        <v>5057.2</v>
      </c>
      <c r="E29" s="11">
        <v>6410.7999999999993</v>
      </c>
      <c r="F29" s="11">
        <v>5188.7999999999993</v>
      </c>
      <c r="G29" s="11">
        <v>5489.5999999999995</v>
      </c>
      <c r="H29" s="11">
        <v>7332</v>
      </c>
      <c r="I29" s="11">
        <v>5846.7999999999993</v>
      </c>
      <c r="J29" s="11">
        <v>5245.2</v>
      </c>
      <c r="K29" s="34">
        <v>7012.4</v>
      </c>
      <c r="L29" s="34">
        <v>5057.2</v>
      </c>
      <c r="M29" s="11">
        <v>5151.2</v>
      </c>
      <c r="N29" s="33">
        <v>6937.2</v>
      </c>
      <c r="O29" s="120">
        <f>SUM(Tabla2[[#This Row],[Gener]:[Desembre]])</f>
        <v>70218</v>
      </c>
    </row>
    <row r="30" spans="1:15" x14ac:dyDescent="0.25">
      <c r="A30" s="13">
        <v>27</v>
      </c>
      <c r="B30" s="47" t="s">
        <v>46</v>
      </c>
      <c r="C30" s="115">
        <v>0</v>
      </c>
      <c r="D30" s="116">
        <v>0</v>
      </c>
      <c r="E30" s="116"/>
      <c r="F30" s="116">
        <v>0</v>
      </c>
      <c r="G30" s="11"/>
      <c r="H30" s="11"/>
      <c r="I30" s="11"/>
      <c r="J30" s="11">
        <v>0</v>
      </c>
      <c r="K30" s="34">
        <v>0</v>
      </c>
      <c r="L30" s="34">
        <v>0</v>
      </c>
      <c r="M30" s="11"/>
      <c r="N30" s="33"/>
      <c r="O30" s="120">
        <f>SUM(Tabla2[[#This Row],[Gener]:[Desembre]])</f>
        <v>0</v>
      </c>
    </row>
    <row r="31" spans="1:15" x14ac:dyDescent="0.25">
      <c r="A31" s="13">
        <v>28</v>
      </c>
      <c r="B31" s="47" t="s">
        <v>47</v>
      </c>
      <c r="C31" s="110">
        <v>13885.300000000001</v>
      </c>
      <c r="D31" s="11">
        <v>11647.03</v>
      </c>
      <c r="E31" s="11">
        <v>12394.4</v>
      </c>
      <c r="F31" s="11">
        <v>10444.129999999999</v>
      </c>
      <c r="G31" s="11">
        <v>12374.13</v>
      </c>
      <c r="H31" s="11">
        <v>14712.58</v>
      </c>
      <c r="I31" s="11">
        <v>12943.04</v>
      </c>
      <c r="J31" s="11">
        <v>12637.41</v>
      </c>
      <c r="K31" s="34">
        <v>12007.36</v>
      </c>
      <c r="L31" s="34">
        <v>10112.25</v>
      </c>
      <c r="M31" s="11">
        <v>11196.05</v>
      </c>
      <c r="N31" s="33">
        <v>13394</v>
      </c>
      <c r="O31" s="120">
        <f>SUM(Tabla2[[#This Row],[Gener]:[Desembre]])</f>
        <v>147747.68</v>
      </c>
    </row>
    <row r="32" spans="1:15" x14ac:dyDescent="0.25">
      <c r="A32" s="13">
        <v>29</v>
      </c>
      <c r="B32" s="47" t="s">
        <v>48</v>
      </c>
      <c r="C32" s="110">
        <v>198.59</v>
      </c>
      <c r="D32" s="11">
        <v>140.61000000000001</v>
      </c>
      <c r="E32" s="11">
        <v>202.61</v>
      </c>
      <c r="F32" s="11">
        <v>274.2</v>
      </c>
      <c r="G32" s="11">
        <v>196.49</v>
      </c>
      <c r="H32" s="11">
        <v>324.33999999999997</v>
      </c>
      <c r="I32" s="11">
        <v>251.31</v>
      </c>
      <c r="J32" s="11">
        <v>265.85000000000002</v>
      </c>
      <c r="K32" s="34">
        <v>269.43</v>
      </c>
      <c r="L32" s="34">
        <v>231.07</v>
      </c>
      <c r="M32" s="11">
        <v>223.74</v>
      </c>
      <c r="N32" s="33">
        <v>254</v>
      </c>
      <c r="O32" s="120">
        <f>SUM(Tabla2[[#This Row],[Gener]:[Desembre]])</f>
        <v>2832.24</v>
      </c>
    </row>
    <row r="33" spans="1:15" x14ac:dyDescent="0.25">
      <c r="A33" s="13">
        <v>30</v>
      </c>
      <c r="B33" s="47" t="s">
        <v>50</v>
      </c>
      <c r="C33" s="11">
        <v>15060</v>
      </c>
      <c r="D33" s="11">
        <v>13380</v>
      </c>
      <c r="E33" s="11">
        <v>15360</v>
      </c>
      <c r="F33" s="11">
        <v>13240</v>
      </c>
      <c r="G33" s="11">
        <v>13660</v>
      </c>
      <c r="H33" s="11">
        <v>20620</v>
      </c>
      <c r="I33" s="11">
        <v>14320</v>
      </c>
      <c r="J33" s="11">
        <v>11540</v>
      </c>
      <c r="K33" s="11">
        <v>16640</v>
      </c>
      <c r="L33" s="11">
        <v>13400</v>
      </c>
      <c r="M33" s="11">
        <v>11980</v>
      </c>
      <c r="N33" s="11">
        <v>16660</v>
      </c>
      <c r="O33" s="120">
        <f>SUM(Tabla2[[#This Row],[Gener]:[Desembre]])</f>
        <v>175860</v>
      </c>
    </row>
    <row r="34" spans="1:15" x14ac:dyDescent="0.25">
      <c r="A34" s="13">
        <v>31</v>
      </c>
      <c r="B34" s="47" t="s">
        <v>51</v>
      </c>
      <c r="C34" s="110">
        <v>1956.5900000000001</v>
      </c>
      <c r="D34" s="11">
        <v>1694.35</v>
      </c>
      <c r="E34" s="11">
        <v>1378.16</v>
      </c>
      <c r="F34" s="11">
        <v>1613.86</v>
      </c>
      <c r="G34" s="11">
        <v>1195.9000000000001</v>
      </c>
      <c r="H34" s="11">
        <v>1856.95</v>
      </c>
      <c r="I34" s="11">
        <v>1501.08</v>
      </c>
      <c r="J34" s="11">
        <v>3659.22</v>
      </c>
      <c r="K34" s="34">
        <v>1837.49</v>
      </c>
      <c r="L34" s="34">
        <v>1693.64</v>
      </c>
      <c r="M34" s="11">
        <v>1984.82</v>
      </c>
      <c r="N34" s="33">
        <v>1330</v>
      </c>
      <c r="O34" s="120">
        <f>SUM(Tabla2[[#This Row],[Gener]:[Desembre]])</f>
        <v>21702.06</v>
      </c>
    </row>
    <row r="35" spans="1:15" x14ac:dyDescent="0.25">
      <c r="A35" s="13">
        <v>32</v>
      </c>
      <c r="B35" s="47" t="s">
        <v>52</v>
      </c>
      <c r="C35" s="110">
        <v>21042.91</v>
      </c>
      <c r="D35" s="11">
        <v>18801.740000000002</v>
      </c>
      <c r="E35" s="11">
        <v>21107.34</v>
      </c>
      <c r="F35" s="11">
        <v>22418.38</v>
      </c>
      <c r="G35" s="11">
        <v>20869.509999999998</v>
      </c>
      <c r="H35" s="11">
        <v>24053.62</v>
      </c>
      <c r="I35" s="11">
        <v>24212.37</v>
      </c>
      <c r="J35" s="11">
        <v>19202.240000000002</v>
      </c>
      <c r="K35" s="34">
        <v>17612.23</v>
      </c>
      <c r="L35" s="34">
        <v>19159.14</v>
      </c>
      <c r="M35" s="11">
        <v>18982.330000000002</v>
      </c>
      <c r="N35" s="33">
        <v>21832</v>
      </c>
      <c r="O35" s="120">
        <f>SUM(Tabla2[[#This Row],[Gener]:[Desembre]])</f>
        <v>249293.81</v>
      </c>
    </row>
    <row r="36" spans="1:15" x14ac:dyDescent="0.25">
      <c r="A36" s="13">
        <v>33</v>
      </c>
      <c r="B36" s="46" t="s">
        <v>21</v>
      </c>
      <c r="C36" s="110">
        <v>0</v>
      </c>
      <c r="D36" s="11">
        <v>0</v>
      </c>
      <c r="E36" s="11"/>
      <c r="F36" s="11">
        <v>0</v>
      </c>
      <c r="G36" s="11"/>
      <c r="H36" s="11"/>
      <c r="I36" s="11"/>
      <c r="J36" s="11">
        <v>0</v>
      </c>
      <c r="K36" s="34">
        <v>0</v>
      </c>
      <c r="L36" s="34">
        <v>0</v>
      </c>
      <c r="M36" s="11"/>
      <c r="N36" s="33"/>
      <c r="O36" s="120">
        <f>SUM(Tabla2[[#This Row],[Gener]:[Desembre]])</f>
        <v>0</v>
      </c>
    </row>
    <row r="37" spans="1:15" x14ac:dyDescent="0.25">
      <c r="A37" s="13">
        <v>34</v>
      </c>
      <c r="B37" s="46" t="s">
        <v>22</v>
      </c>
      <c r="C37" s="110">
        <v>5511.88</v>
      </c>
      <c r="D37" s="11">
        <v>5395.31</v>
      </c>
      <c r="E37" s="11">
        <v>5646.05</v>
      </c>
      <c r="F37" s="11">
        <v>6045.13</v>
      </c>
      <c r="G37" s="11">
        <v>5526.46</v>
      </c>
      <c r="H37" s="11">
        <v>6659.28</v>
      </c>
      <c r="I37" s="11">
        <v>6262.21</v>
      </c>
      <c r="J37" s="11">
        <v>8142.87</v>
      </c>
      <c r="K37" s="34">
        <v>5380.18</v>
      </c>
      <c r="L37" s="34">
        <v>5243.2</v>
      </c>
      <c r="M37" s="11">
        <v>5946.94</v>
      </c>
      <c r="N37" s="33">
        <v>5280</v>
      </c>
      <c r="O37" s="120">
        <f>SUM(Tabla2[[#This Row],[Gener]:[Desembre]])</f>
        <v>71039.509999999995</v>
      </c>
    </row>
    <row r="38" spans="1:15" x14ac:dyDescent="0.25">
      <c r="A38" s="13">
        <v>35</v>
      </c>
      <c r="B38" s="46" t="s">
        <v>23</v>
      </c>
      <c r="C38" s="110">
        <v>7381.91</v>
      </c>
      <c r="D38" s="11">
        <v>6991.19</v>
      </c>
      <c r="E38" s="11">
        <v>6783.1</v>
      </c>
      <c r="F38" s="11">
        <v>6771.88</v>
      </c>
      <c r="G38" s="11">
        <v>7389.73</v>
      </c>
      <c r="H38" s="11">
        <v>7586.69</v>
      </c>
      <c r="I38" s="11">
        <v>7727.63</v>
      </c>
      <c r="J38" s="11">
        <v>8157.33</v>
      </c>
      <c r="K38" s="34">
        <v>6928.28</v>
      </c>
      <c r="L38" s="34">
        <v>5550.92</v>
      </c>
      <c r="M38" s="11">
        <v>6966.83</v>
      </c>
      <c r="N38" s="33">
        <v>6925</v>
      </c>
      <c r="O38" s="120">
        <f>SUM(Tabla2[[#This Row],[Gener]:[Desembre]])</f>
        <v>85160.49</v>
      </c>
    </row>
    <row r="39" spans="1:15" x14ac:dyDescent="0.25">
      <c r="A39" s="13">
        <v>36</v>
      </c>
      <c r="B39" s="46" t="s">
        <v>24</v>
      </c>
      <c r="C39" s="110">
        <v>1775.19</v>
      </c>
      <c r="D39" s="11">
        <v>1510.54</v>
      </c>
      <c r="E39" s="11">
        <v>2171.41</v>
      </c>
      <c r="F39" s="11">
        <v>2433.73</v>
      </c>
      <c r="G39" s="11">
        <v>1347.89</v>
      </c>
      <c r="H39" s="11">
        <v>1749.27</v>
      </c>
      <c r="I39" s="11">
        <v>1647.32</v>
      </c>
      <c r="J39" s="11">
        <v>1578.93</v>
      </c>
      <c r="K39" s="34">
        <v>1946.52</v>
      </c>
      <c r="L39" s="34">
        <v>1369.8</v>
      </c>
      <c r="M39" s="11">
        <v>1793.15</v>
      </c>
      <c r="N39" s="33">
        <v>1139</v>
      </c>
      <c r="O39" s="120">
        <f>SUM(Tabla2[[#This Row],[Gener]:[Desembre]])</f>
        <v>20462.75</v>
      </c>
    </row>
    <row r="40" spans="1:15" x14ac:dyDescent="0.25">
      <c r="A40" s="13">
        <v>37</v>
      </c>
      <c r="B40" s="46" t="s">
        <v>25</v>
      </c>
      <c r="C40" s="110">
        <v>12673.86</v>
      </c>
      <c r="D40" s="11">
        <v>10973.2</v>
      </c>
      <c r="E40" s="11">
        <v>11064.92</v>
      </c>
      <c r="F40" s="11">
        <v>9265.0499999999993</v>
      </c>
      <c r="G40" s="11">
        <v>10425.870000000001</v>
      </c>
      <c r="H40" s="11">
        <v>11015.6</v>
      </c>
      <c r="I40" s="11">
        <v>11229.21</v>
      </c>
      <c r="J40" s="11">
        <v>11727.52</v>
      </c>
      <c r="K40" s="34">
        <v>9238.0400000000009</v>
      </c>
      <c r="L40" s="34">
        <v>8654.4500000000007</v>
      </c>
      <c r="M40" s="11">
        <v>9893.75</v>
      </c>
      <c r="N40" s="33">
        <v>11217</v>
      </c>
      <c r="O40" s="120">
        <f>SUM(Tabla2[[#This Row],[Gener]:[Desembre]])</f>
        <v>127378.46999999999</v>
      </c>
    </row>
    <row r="41" spans="1:15" x14ac:dyDescent="0.25">
      <c r="A41" s="13">
        <v>38</v>
      </c>
      <c r="B41" s="46" t="s">
        <v>5</v>
      </c>
      <c r="C41" s="110">
        <v>1633.82</v>
      </c>
      <c r="D41" s="11">
        <v>1459.4</v>
      </c>
      <c r="E41" s="11">
        <v>1880.4</v>
      </c>
      <c r="F41" s="11">
        <v>1466.52</v>
      </c>
      <c r="G41" s="11">
        <v>1864.66</v>
      </c>
      <c r="H41" s="11">
        <v>1990.98</v>
      </c>
      <c r="I41" s="11">
        <v>1404.7</v>
      </c>
      <c r="J41" s="11">
        <v>1963.4</v>
      </c>
      <c r="K41" s="34">
        <v>2472.65</v>
      </c>
      <c r="L41" s="34">
        <v>2100.61</v>
      </c>
      <c r="M41" s="11">
        <v>1085.23</v>
      </c>
      <c r="N41" s="33">
        <v>2287</v>
      </c>
      <c r="O41" s="120">
        <f>SUM(Tabla2[[#This Row],[Gener]:[Desembre]])</f>
        <v>21609.37</v>
      </c>
    </row>
    <row r="42" spans="1:15" x14ac:dyDescent="0.25">
      <c r="A42" s="13">
        <v>39</v>
      </c>
      <c r="B42" s="46" t="s">
        <v>6</v>
      </c>
      <c r="C42" s="115">
        <v>4222.18</v>
      </c>
      <c r="D42" s="116">
        <v>4051.2799999999997</v>
      </c>
      <c r="E42" s="116">
        <v>5728.1900000000005</v>
      </c>
      <c r="F42" s="116">
        <v>5111.1400000000003</v>
      </c>
      <c r="G42" s="116">
        <v>4410.2</v>
      </c>
      <c r="H42" s="116">
        <v>7185.42</v>
      </c>
      <c r="I42" s="117">
        <v>5052.83</v>
      </c>
      <c r="J42" s="116">
        <v>4917.07</v>
      </c>
      <c r="K42" s="34">
        <v>5725.1900000000005</v>
      </c>
      <c r="L42" s="34">
        <v>5006.1900000000005</v>
      </c>
      <c r="M42" s="11">
        <v>4474.0599999999995</v>
      </c>
      <c r="N42" s="33">
        <v>7212</v>
      </c>
      <c r="O42" s="120">
        <f>SUM(Tabla2[[#This Row],[Gener]:[Desembre]])</f>
        <v>63095.750000000007</v>
      </c>
    </row>
    <row r="43" spans="1:15" x14ac:dyDescent="0.25">
      <c r="A43" s="13">
        <v>40</v>
      </c>
      <c r="B43" s="46" t="s">
        <v>8</v>
      </c>
      <c r="C43" s="110">
        <v>154.72999999999999</v>
      </c>
      <c r="D43" s="11">
        <v>273.68</v>
      </c>
      <c r="E43" s="11">
        <v>476.4</v>
      </c>
      <c r="F43" s="11">
        <v>108.33</v>
      </c>
      <c r="G43" s="11">
        <v>253.35</v>
      </c>
      <c r="H43" s="11">
        <v>434.01</v>
      </c>
      <c r="I43" s="11">
        <v>300.49</v>
      </c>
      <c r="J43" s="11">
        <v>470.4</v>
      </c>
      <c r="K43" s="34">
        <v>490.94</v>
      </c>
      <c r="L43" s="34">
        <v>275.91000000000003</v>
      </c>
      <c r="M43" s="11">
        <v>104.35</v>
      </c>
      <c r="N43" s="33">
        <v>412</v>
      </c>
      <c r="O43" s="120">
        <f>SUM(Tabla2[[#This Row],[Gener]:[Desembre]])</f>
        <v>3754.5899999999997</v>
      </c>
    </row>
    <row r="44" spans="1:15" ht="15.75" thickBot="1" x14ac:dyDescent="0.3">
      <c r="A44" s="69">
        <v>41</v>
      </c>
      <c r="B44" s="73" t="s">
        <v>49</v>
      </c>
      <c r="C44" s="43">
        <v>0</v>
      </c>
      <c r="D44" s="34">
        <v>0</v>
      </c>
      <c r="E44" s="34"/>
      <c r="F44" s="22">
        <v>0</v>
      </c>
      <c r="G44" s="22"/>
      <c r="H44" s="22"/>
      <c r="I44" s="22"/>
      <c r="J44" s="34">
        <v>0</v>
      </c>
      <c r="K44" s="34">
        <v>0</v>
      </c>
      <c r="L44" s="34">
        <v>0</v>
      </c>
      <c r="M44" s="22"/>
      <c r="N44" s="36"/>
      <c r="O44" s="121">
        <f>SUM(Tabla2[[#This Row],[Gener]:[Desembre]])</f>
        <v>0</v>
      </c>
    </row>
    <row r="45" spans="1:15" s="4" customFormat="1" ht="15.75" thickBot="1" x14ac:dyDescent="0.3">
      <c r="A45" s="70"/>
      <c r="B45" s="23" t="s">
        <v>61</v>
      </c>
      <c r="C45" s="42">
        <f>SUBTOTAL(109,C5:C44)</f>
        <v>612689.59999999986</v>
      </c>
      <c r="D45" s="42">
        <f t="shared" ref="D45:N45" si="0">SUBTOTAL(109,D5:D44)</f>
        <v>552127.19000000006</v>
      </c>
      <c r="E45" s="42">
        <f t="shared" si="0"/>
        <v>587720.80000000016</v>
      </c>
      <c r="F45" s="42">
        <f t="shared" si="0"/>
        <v>554630.79999999993</v>
      </c>
      <c r="G45" s="42">
        <f t="shared" si="0"/>
        <v>559230.57999999996</v>
      </c>
      <c r="H45" s="42">
        <f t="shared" si="0"/>
        <v>610281.96999999986</v>
      </c>
      <c r="I45" s="42">
        <f t="shared" si="0"/>
        <v>607605.7799999998</v>
      </c>
      <c r="J45" s="42">
        <f t="shared" si="0"/>
        <v>534274.21999999986</v>
      </c>
      <c r="K45" s="42">
        <f t="shared" si="0"/>
        <v>578495.04</v>
      </c>
      <c r="L45" s="42">
        <f t="shared" si="0"/>
        <v>564257.18999999994</v>
      </c>
      <c r="M45" s="42">
        <f t="shared" si="0"/>
        <v>571530.71</v>
      </c>
      <c r="N45" s="42">
        <f t="shared" si="0"/>
        <v>642540.19999999995</v>
      </c>
      <c r="O45" s="8">
        <f>SUBTOTAL(109,O5:O44)</f>
        <v>6975384.0800000001</v>
      </c>
    </row>
    <row r="46" spans="1:15" ht="15.75" thickBot="1" x14ac:dyDescent="0.3">
      <c r="A46" s="71"/>
      <c r="B46" s="49" t="s">
        <v>60</v>
      </c>
      <c r="C46" s="44">
        <v>647653.59999999986</v>
      </c>
      <c r="D46" s="37">
        <v>518916.06</v>
      </c>
      <c r="E46" s="37">
        <v>570087.22000000009</v>
      </c>
      <c r="F46" s="37">
        <v>598363.19999999995</v>
      </c>
      <c r="G46" s="37">
        <v>565875.80999999982</v>
      </c>
      <c r="H46" s="37">
        <v>634576.57000000007</v>
      </c>
      <c r="I46" s="37">
        <v>616928.45000000019</v>
      </c>
      <c r="J46" s="37">
        <v>525749.00999999989</v>
      </c>
      <c r="K46" s="37">
        <v>598853.56000000006</v>
      </c>
      <c r="L46" s="37">
        <v>580924.61999999988</v>
      </c>
      <c r="M46" s="37">
        <v>568420.78999999969</v>
      </c>
      <c r="N46" s="39">
        <v>700641.16999999993</v>
      </c>
      <c r="O46" s="41">
        <f>SUM(Tabla2[[#This Row],[Gener]:[Desembre]])</f>
        <v>7126990.0600000005</v>
      </c>
    </row>
    <row r="47" spans="1:15" x14ac:dyDescent="0.25">
      <c r="A47" s="72"/>
      <c r="B47" s="62" t="s">
        <v>57</v>
      </c>
      <c r="C47" s="64">
        <f>(C45/C46)-1</f>
        <v>-5.398564911860293E-2</v>
      </c>
      <c r="D47" s="64">
        <f>(D45/D46)-1</f>
        <v>6.4000967709498369E-2</v>
      </c>
      <c r="E47" s="64">
        <f t="shared" ref="E47:O47" si="1">(E45/E46)-1</f>
        <v>3.0931372220552644E-2</v>
      </c>
      <c r="F47" s="64">
        <f t="shared" si="1"/>
        <v>-7.3086713888822041E-2</v>
      </c>
      <c r="G47" s="64">
        <f t="shared" si="1"/>
        <v>-1.1743265717613638E-2</v>
      </c>
      <c r="H47" s="64">
        <f t="shared" si="1"/>
        <v>-3.8284741587607307E-2</v>
      </c>
      <c r="I47" s="64">
        <f t="shared" si="1"/>
        <v>-1.511142823774847E-2</v>
      </c>
      <c r="J47" s="64">
        <f t="shared" si="1"/>
        <v>1.6215361014184193E-2</v>
      </c>
      <c r="K47" s="64">
        <f t="shared" si="1"/>
        <v>-3.3995823620051602E-2</v>
      </c>
      <c r="L47" s="64">
        <f t="shared" si="1"/>
        <v>-2.8691209541093166E-2</v>
      </c>
      <c r="M47" s="64">
        <f t="shared" si="1"/>
        <v>5.4711580834336804E-3</v>
      </c>
      <c r="N47" s="64">
        <f t="shared" si="1"/>
        <v>-8.2925429574742249E-2</v>
      </c>
      <c r="O47" s="64">
        <f t="shared" si="1"/>
        <v>-2.1272090843915126E-2</v>
      </c>
    </row>
    <row r="48" spans="1:15" x14ac:dyDescent="0.25">
      <c r="B48" s="18" t="s">
        <v>67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50" spans="5:8" x14ac:dyDescent="0.25">
      <c r="E50" s="63"/>
      <c r="H50" s="65"/>
    </row>
  </sheetData>
  <sheetProtection password="C412"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showZeros="0" zoomScale="90" zoomScaleNormal="90" workbookViewId="0">
      <selection activeCell="M25" sqref="M25"/>
    </sheetView>
  </sheetViews>
  <sheetFormatPr baseColWidth="10" defaultColWidth="11.42578125" defaultRowHeight="15" x14ac:dyDescent="0.25"/>
  <cols>
    <col min="1" max="1" width="5.7109375" style="3" customWidth="1"/>
    <col min="2" max="2" width="26.140625" style="20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20" ht="15.75" x14ac:dyDescent="0.25">
      <c r="B2" s="1" t="s">
        <v>63</v>
      </c>
    </row>
    <row r="3" spans="1:20" ht="15.75" thickBot="1" x14ac:dyDescent="0.3">
      <c r="B3" s="3"/>
      <c r="C3" s="4" t="s">
        <v>66</v>
      </c>
    </row>
    <row r="4" spans="1:20" ht="15.75" thickBot="1" x14ac:dyDescent="0.3">
      <c r="A4" s="8" t="s">
        <v>58</v>
      </c>
      <c r="B4" s="23" t="s">
        <v>56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20" x14ac:dyDescent="0.25">
      <c r="A5" s="40">
        <v>1</v>
      </c>
      <c r="B5" s="45" t="s">
        <v>39</v>
      </c>
      <c r="C5" s="43"/>
      <c r="D5" s="34">
        <v>0</v>
      </c>
      <c r="E5" s="34"/>
      <c r="F5" s="34"/>
      <c r="G5" s="34">
        <v>0</v>
      </c>
      <c r="H5" s="147">
        <v>0</v>
      </c>
      <c r="I5" s="34"/>
      <c r="J5" s="34">
        <v>0</v>
      </c>
      <c r="K5" s="34">
        <v>0</v>
      </c>
      <c r="L5" s="34">
        <v>0</v>
      </c>
      <c r="M5" s="34"/>
      <c r="N5" s="35"/>
      <c r="O5" s="122">
        <f>SUM(Tabla25[[#This Row],[Gener]:[Desembre]])</f>
        <v>0</v>
      </c>
    </row>
    <row r="6" spans="1:20" x14ac:dyDescent="0.25">
      <c r="A6" s="13">
        <v>2</v>
      </c>
      <c r="B6" s="46" t="s">
        <v>0</v>
      </c>
      <c r="C6" s="110">
        <v>1840</v>
      </c>
      <c r="D6" s="11">
        <v>1880</v>
      </c>
      <c r="E6" s="11">
        <v>1700</v>
      </c>
      <c r="F6" s="11">
        <v>1620</v>
      </c>
      <c r="G6" s="11">
        <v>1920</v>
      </c>
      <c r="H6" s="146">
        <v>1860</v>
      </c>
      <c r="I6" s="11">
        <v>2740</v>
      </c>
      <c r="J6" s="11">
        <v>1260</v>
      </c>
      <c r="K6" s="11">
        <v>1460</v>
      </c>
      <c r="L6" s="11">
        <v>1800</v>
      </c>
      <c r="M6" s="11">
        <v>2920</v>
      </c>
      <c r="N6" s="12">
        <v>1400</v>
      </c>
      <c r="O6" s="123">
        <f>SUM(Tabla25[[#This Row],[Gener]:[Desembre]])</f>
        <v>22400</v>
      </c>
    </row>
    <row r="7" spans="1:20" x14ac:dyDescent="0.25">
      <c r="A7" s="13">
        <v>3</v>
      </c>
      <c r="B7" s="46" t="s">
        <v>1</v>
      </c>
      <c r="C7" s="110"/>
      <c r="D7" s="11">
        <v>0</v>
      </c>
      <c r="E7" s="11"/>
      <c r="F7" s="11"/>
      <c r="G7" s="11">
        <v>0</v>
      </c>
      <c r="H7" s="146">
        <v>0</v>
      </c>
      <c r="I7" s="11"/>
      <c r="J7" s="11">
        <v>0</v>
      </c>
      <c r="K7" s="11">
        <v>0</v>
      </c>
      <c r="L7" s="11">
        <v>0</v>
      </c>
      <c r="M7" s="11"/>
      <c r="N7" s="12"/>
      <c r="O7" s="123">
        <f>SUM(Tabla25[[#This Row],[Gener]:[Desembre]])</f>
        <v>0</v>
      </c>
    </row>
    <row r="8" spans="1:20" x14ac:dyDescent="0.25">
      <c r="A8" s="13">
        <v>4</v>
      </c>
      <c r="B8" s="46" t="s">
        <v>2</v>
      </c>
      <c r="C8" s="110"/>
      <c r="D8" s="11">
        <v>0</v>
      </c>
      <c r="E8" s="11"/>
      <c r="F8" s="11"/>
      <c r="G8" s="11">
        <v>0</v>
      </c>
      <c r="H8" s="146">
        <v>0</v>
      </c>
      <c r="I8" s="11"/>
      <c r="J8" s="11">
        <v>0</v>
      </c>
      <c r="K8" s="11">
        <v>0</v>
      </c>
      <c r="L8" s="11">
        <v>0</v>
      </c>
      <c r="M8" s="11"/>
      <c r="N8" s="12"/>
      <c r="O8" s="123">
        <f>SUM(Tabla25[[#This Row],[Gener]:[Desembre]])</f>
        <v>0</v>
      </c>
      <c r="Q8"/>
      <c r="R8" s="143"/>
      <c r="S8" s="144"/>
    </row>
    <row r="9" spans="1:20" x14ac:dyDescent="0.25">
      <c r="A9" s="13">
        <v>5</v>
      </c>
      <c r="B9" s="46" t="s">
        <v>3</v>
      </c>
      <c r="C9" s="110"/>
      <c r="D9" s="11">
        <v>0</v>
      </c>
      <c r="E9" s="11"/>
      <c r="F9" s="11"/>
      <c r="G9" s="11">
        <v>0</v>
      </c>
      <c r="H9" s="146">
        <v>0</v>
      </c>
      <c r="I9" s="11"/>
      <c r="J9" s="11">
        <v>0</v>
      </c>
      <c r="K9" s="11">
        <v>0</v>
      </c>
      <c r="L9" s="11">
        <v>0</v>
      </c>
      <c r="M9" s="11"/>
      <c r="N9" s="12"/>
      <c r="O9" s="123">
        <f>SUM(Tabla25[[#This Row],[Gener]:[Desembre]])</f>
        <v>0</v>
      </c>
      <c r="Q9"/>
      <c r="R9" s="143"/>
      <c r="S9" s="144"/>
    </row>
    <row r="10" spans="1:20" x14ac:dyDescent="0.25">
      <c r="A10" s="13">
        <v>6</v>
      </c>
      <c r="B10" s="46" t="s">
        <v>4</v>
      </c>
      <c r="C10" s="110">
        <v>4600</v>
      </c>
      <c r="D10" s="11">
        <v>5882.51</v>
      </c>
      <c r="E10" s="11">
        <v>4960</v>
      </c>
      <c r="F10" s="11">
        <v>6570.32</v>
      </c>
      <c r="G10" s="11">
        <v>4886.42</v>
      </c>
      <c r="H10" s="146">
        <v>4640</v>
      </c>
      <c r="I10" s="11">
        <v>6669.9</v>
      </c>
      <c r="J10" s="11">
        <v>3200</v>
      </c>
      <c r="K10" s="11">
        <v>7940</v>
      </c>
      <c r="L10" s="11">
        <v>5960</v>
      </c>
      <c r="M10" s="11">
        <v>5986.15</v>
      </c>
      <c r="N10" s="12">
        <v>6795</v>
      </c>
      <c r="O10" s="123">
        <f>SUM(Tabla25[[#This Row],[Gener]:[Desembre]])</f>
        <v>68090.3</v>
      </c>
      <c r="Q10"/>
      <c r="R10" s="143"/>
      <c r="S10" s="144"/>
    </row>
    <row r="11" spans="1:20" x14ac:dyDescent="0.25">
      <c r="A11" s="13">
        <v>8</v>
      </c>
      <c r="B11" s="48" t="s">
        <v>7</v>
      </c>
      <c r="C11" s="110"/>
      <c r="D11" s="11">
        <v>0</v>
      </c>
      <c r="E11" s="11"/>
      <c r="F11" s="11"/>
      <c r="G11" s="11">
        <v>0</v>
      </c>
      <c r="H11" s="146">
        <v>0</v>
      </c>
      <c r="I11" s="11"/>
      <c r="J11" s="11">
        <v>0</v>
      </c>
      <c r="K11" s="11">
        <v>0</v>
      </c>
      <c r="L11" s="11">
        <v>0</v>
      </c>
      <c r="M11" s="11"/>
      <c r="N11" s="12"/>
      <c r="O11" s="124">
        <f>SUM(Tabla25[[#This Row],[Gener]:[Desembre]])</f>
        <v>0</v>
      </c>
      <c r="Q11"/>
      <c r="R11" s="143"/>
      <c r="S11" s="144"/>
    </row>
    <row r="12" spans="1:20" x14ac:dyDescent="0.25">
      <c r="A12" s="13">
        <v>9</v>
      </c>
      <c r="B12" s="47" t="s">
        <v>40</v>
      </c>
      <c r="C12" s="110"/>
      <c r="D12" s="11">
        <v>0</v>
      </c>
      <c r="E12" s="11"/>
      <c r="F12" s="11"/>
      <c r="G12" s="11">
        <v>0</v>
      </c>
      <c r="H12" s="146">
        <v>0</v>
      </c>
      <c r="I12" s="11"/>
      <c r="J12" s="11">
        <v>0</v>
      </c>
      <c r="K12" s="11">
        <v>0</v>
      </c>
      <c r="L12" s="11">
        <v>0</v>
      </c>
      <c r="M12" s="11"/>
      <c r="N12" s="12"/>
      <c r="O12" s="123">
        <f>SUM(Tabla25[[#This Row],[Gener]:[Desembre]])</f>
        <v>0</v>
      </c>
      <c r="Q12"/>
      <c r="R12" s="143"/>
      <c r="S12" s="144"/>
    </row>
    <row r="13" spans="1:20" x14ac:dyDescent="0.25">
      <c r="A13" s="13">
        <v>10</v>
      </c>
      <c r="B13" s="45" t="s">
        <v>41</v>
      </c>
      <c r="C13" s="110">
        <v>7400</v>
      </c>
      <c r="D13" s="11">
        <v>6940</v>
      </c>
      <c r="E13" s="11">
        <v>8660</v>
      </c>
      <c r="F13" s="11">
        <v>7280</v>
      </c>
      <c r="G13" s="11">
        <v>8620</v>
      </c>
      <c r="H13" s="146">
        <v>8920</v>
      </c>
      <c r="I13" s="11">
        <v>8260</v>
      </c>
      <c r="J13" s="11">
        <v>5980</v>
      </c>
      <c r="K13" s="11">
        <v>9140</v>
      </c>
      <c r="L13" s="11">
        <v>9220</v>
      </c>
      <c r="M13" s="11">
        <v>7840</v>
      </c>
      <c r="N13" s="12">
        <v>8460</v>
      </c>
      <c r="O13" s="122">
        <f>SUM(Tabla25[[#This Row],[Gener]:[Desembre]])</f>
        <v>96720</v>
      </c>
      <c r="Q13"/>
      <c r="R13" s="143"/>
      <c r="S13" s="144"/>
      <c r="T13" s="153"/>
    </row>
    <row r="14" spans="1:20" x14ac:dyDescent="0.25">
      <c r="A14" s="13">
        <v>11</v>
      </c>
      <c r="B14" s="46" t="s">
        <v>9</v>
      </c>
      <c r="C14" s="110">
        <f>460+2180+820+33940</f>
        <v>37400</v>
      </c>
      <c r="D14" s="11">
        <v>31007.489999999998</v>
      </c>
      <c r="E14" s="11">
        <v>33420</v>
      </c>
      <c r="F14" s="11">
        <f>3340+909.68+26240</f>
        <v>30489.68</v>
      </c>
      <c r="G14" s="11">
        <v>29953.58</v>
      </c>
      <c r="H14" s="11">
        <v>29640</v>
      </c>
      <c r="I14" s="11">
        <v>37050.1</v>
      </c>
      <c r="J14" s="11">
        <v>26980</v>
      </c>
      <c r="K14" s="11">
        <v>34847.370000000003</v>
      </c>
      <c r="L14" s="11">
        <v>35780</v>
      </c>
      <c r="M14" s="11">
        <v>32853.85</v>
      </c>
      <c r="N14" s="12">
        <v>48785</v>
      </c>
      <c r="O14" s="123">
        <f>SUM(Tabla25[[#This Row],[Gener]:[Desembre]])</f>
        <v>408207.07</v>
      </c>
      <c r="Q14"/>
      <c r="R14" s="143"/>
      <c r="S14" s="144"/>
    </row>
    <row r="15" spans="1:20" x14ac:dyDescent="0.25">
      <c r="A15" s="13">
        <v>12</v>
      </c>
      <c r="B15" s="46" t="s">
        <v>10</v>
      </c>
      <c r="C15" s="110"/>
      <c r="D15" s="11">
        <v>0</v>
      </c>
      <c r="E15" s="11"/>
      <c r="F15" s="11"/>
      <c r="G15" s="11">
        <v>0</v>
      </c>
      <c r="H15" s="146">
        <v>0</v>
      </c>
      <c r="I15" s="11"/>
      <c r="J15" s="11">
        <v>0</v>
      </c>
      <c r="K15" s="11">
        <v>0</v>
      </c>
      <c r="L15" s="11">
        <v>0</v>
      </c>
      <c r="M15" s="11"/>
      <c r="N15" s="12"/>
      <c r="O15" s="123">
        <f>SUM(Tabla25[[#This Row],[Gener]:[Desembre]])</f>
        <v>0</v>
      </c>
      <c r="Q15"/>
      <c r="R15" s="143"/>
      <c r="S15" s="144"/>
    </row>
    <row r="16" spans="1:20" x14ac:dyDescent="0.25">
      <c r="A16" s="13">
        <v>13</v>
      </c>
      <c r="B16" s="47" t="s">
        <v>42</v>
      </c>
      <c r="C16" s="110"/>
      <c r="D16" s="11">
        <v>0</v>
      </c>
      <c r="E16" s="11"/>
      <c r="F16" s="11"/>
      <c r="G16" s="11">
        <v>0</v>
      </c>
      <c r="H16" s="146">
        <v>0</v>
      </c>
      <c r="I16" s="11"/>
      <c r="J16" s="11">
        <v>0</v>
      </c>
      <c r="K16" s="11">
        <v>0</v>
      </c>
      <c r="L16" s="11">
        <v>0</v>
      </c>
      <c r="M16" s="11"/>
      <c r="N16" s="12"/>
      <c r="O16" s="123">
        <f>SUM(Tabla25[[#This Row],[Gener]:[Desembre]])</f>
        <v>0</v>
      </c>
      <c r="Q16"/>
      <c r="R16" s="143"/>
      <c r="S16" s="144"/>
    </row>
    <row r="17" spans="1:19" x14ac:dyDescent="0.25">
      <c r="A17" s="13">
        <v>14</v>
      </c>
      <c r="B17" s="46" t="s">
        <v>11</v>
      </c>
      <c r="C17" s="110"/>
      <c r="D17" s="11">
        <v>0</v>
      </c>
      <c r="E17" s="11"/>
      <c r="F17" s="11"/>
      <c r="G17" s="11">
        <v>0</v>
      </c>
      <c r="H17" s="146">
        <v>0</v>
      </c>
      <c r="I17" s="11"/>
      <c r="J17" s="11">
        <v>0</v>
      </c>
      <c r="K17" s="11">
        <v>0</v>
      </c>
      <c r="L17" s="11">
        <v>0</v>
      </c>
      <c r="M17" s="11"/>
      <c r="N17" s="12"/>
      <c r="O17" s="123">
        <f>SUM(Tabla25[[#This Row],[Gener]:[Desembre]])</f>
        <v>0</v>
      </c>
      <c r="Q17"/>
      <c r="R17" s="143"/>
      <c r="S17" s="144"/>
    </row>
    <row r="18" spans="1:19" x14ac:dyDescent="0.25">
      <c r="A18" s="13">
        <v>15</v>
      </c>
      <c r="B18" s="46" t="s">
        <v>12</v>
      </c>
      <c r="C18" s="110"/>
      <c r="D18" s="11">
        <v>0</v>
      </c>
      <c r="E18" s="11"/>
      <c r="F18" s="11"/>
      <c r="G18" s="11">
        <v>0</v>
      </c>
      <c r="H18" s="146">
        <v>0</v>
      </c>
      <c r="I18" s="11"/>
      <c r="J18" s="11">
        <v>0</v>
      </c>
      <c r="K18" s="11">
        <v>0</v>
      </c>
      <c r="L18" s="11">
        <v>0</v>
      </c>
      <c r="M18" s="11"/>
      <c r="N18" s="12"/>
      <c r="O18" s="123">
        <f>SUM(Tabla25[[#This Row],[Gener]:[Desembre]])</f>
        <v>0</v>
      </c>
    </row>
    <row r="19" spans="1:19" x14ac:dyDescent="0.25">
      <c r="A19" s="13">
        <v>16</v>
      </c>
      <c r="B19" s="46" t="s">
        <v>13</v>
      </c>
      <c r="C19" s="110"/>
      <c r="D19" s="11">
        <v>0</v>
      </c>
      <c r="E19" s="11"/>
      <c r="F19" s="11"/>
      <c r="G19" s="11">
        <v>0</v>
      </c>
      <c r="H19" s="146">
        <v>0</v>
      </c>
      <c r="I19" s="11"/>
      <c r="J19" s="11">
        <v>0</v>
      </c>
      <c r="K19" s="11">
        <v>0</v>
      </c>
      <c r="L19" s="11">
        <v>0</v>
      </c>
      <c r="M19" s="11"/>
      <c r="N19" s="12"/>
      <c r="O19" s="123">
        <f>SUM(Tabla25[[#This Row],[Gener]:[Desembre]])</f>
        <v>0</v>
      </c>
    </row>
    <row r="20" spans="1:19" x14ac:dyDescent="0.25">
      <c r="A20" s="13">
        <v>17</v>
      </c>
      <c r="B20" s="46" t="s">
        <v>14</v>
      </c>
      <c r="C20" s="110"/>
      <c r="D20" s="11">
        <v>0</v>
      </c>
      <c r="E20" s="11"/>
      <c r="F20" s="11"/>
      <c r="G20" s="11">
        <v>0</v>
      </c>
      <c r="H20" s="146">
        <v>0</v>
      </c>
      <c r="I20" s="11"/>
      <c r="J20" s="11">
        <v>0</v>
      </c>
      <c r="K20" s="11">
        <v>0</v>
      </c>
      <c r="L20" s="11">
        <v>0</v>
      </c>
      <c r="M20" s="11"/>
      <c r="N20" s="12"/>
      <c r="O20" s="123">
        <f>SUM(Tabla25[[#This Row],[Gener]:[Desembre]])</f>
        <v>0</v>
      </c>
    </row>
    <row r="21" spans="1:19" x14ac:dyDescent="0.25">
      <c r="A21" s="13">
        <v>18</v>
      </c>
      <c r="B21" s="46" t="s">
        <v>15</v>
      </c>
      <c r="C21" s="110">
        <f>3180+18620</f>
        <v>21800</v>
      </c>
      <c r="D21" s="11">
        <v>25880</v>
      </c>
      <c r="E21" s="11">
        <v>28960</v>
      </c>
      <c r="F21" s="11">
        <f>2880+22340</f>
        <v>25220</v>
      </c>
      <c r="G21" s="11">
        <v>25940</v>
      </c>
      <c r="H21" s="146">
        <v>31380</v>
      </c>
      <c r="I21" s="11">
        <v>27900</v>
      </c>
      <c r="J21" s="11">
        <v>17440</v>
      </c>
      <c r="K21" s="11">
        <v>27000</v>
      </c>
      <c r="L21" s="11">
        <v>25200</v>
      </c>
      <c r="M21" s="11">
        <v>25220</v>
      </c>
      <c r="N21" s="12">
        <v>27340</v>
      </c>
      <c r="O21" s="123">
        <f>SUM(Tabla25[[#This Row],[Gener]:[Desembre]])</f>
        <v>309280</v>
      </c>
    </row>
    <row r="22" spans="1:19" x14ac:dyDescent="0.25">
      <c r="A22" s="13">
        <v>19</v>
      </c>
      <c r="B22" s="46" t="s">
        <v>16</v>
      </c>
      <c r="C22" s="110">
        <v>6720</v>
      </c>
      <c r="D22" s="11">
        <v>5180</v>
      </c>
      <c r="E22" s="11">
        <v>5520</v>
      </c>
      <c r="F22" s="11">
        <v>4880</v>
      </c>
      <c r="G22" s="11">
        <v>5540</v>
      </c>
      <c r="H22" s="146">
        <v>6680</v>
      </c>
      <c r="I22" s="11">
        <v>5200</v>
      </c>
      <c r="J22" s="11">
        <v>2880</v>
      </c>
      <c r="K22" s="11">
        <v>4900</v>
      </c>
      <c r="L22" s="11">
        <v>6020</v>
      </c>
      <c r="M22" s="11">
        <v>4220</v>
      </c>
      <c r="N22" s="12">
        <v>4180</v>
      </c>
      <c r="O22" s="123">
        <f>SUM(Tabla25[[#This Row],[Gener]:[Desembre]])</f>
        <v>61920</v>
      </c>
    </row>
    <row r="23" spans="1:19" x14ac:dyDescent="0.25">
      <c r="A23" s="13">
        <v>20</v>
      </c>
      <c r="B23" s="46" t="s">
        <v>17</v>
      </c>
      <c r="C23" s="110"/>
      <c r="D23" s="11">
        <v>0</v>
      </c>
      <c r="E23" s="11"/>
      <c r="F23" s="11"/>
      <c r="G23" s="11">
        <v>0</v>
      </c>
      <c r="H23" s="146">
        <v>0</v>
      </c>
      <c r="I23" s="11"/>
      <c r="J23" s="11">
        <v>0</v>
      </c>
      <c r="K23" s="11">
        <v>0</v>
      </c>
      <c r="L23" s="11">
        <v>0</v>
      </c>
      <c r="M23" s="11"/>
      <c r="N23" s="12"/>
      <c r="O23" s="123">
        <f>SUM(Tabla25[[#This Row],[Gener]:[Desembre]])</f>
        <v>0</v>
      </c>
    </row>
    <row r="24" spans="1:19" x14ac:dyDescent="0.25">
      <c r="A24" s="13">
        <v>21</v>
      </c>
      <c r="B24" s="46" t="s">
        <v>18</v>
      </c>
      <c r="C24" s="110"/>
      <c r="D24" s="11">
        <v>0</v>
      </c>
      <c r="E24" s="11"/>
      <c r="F24" s="11"/>
      <c r="G24" s="11">
        <v>0</v>
      </c>
      <c r="H24" s="146">
        <v>0</v>
      </c>
      <c r="I24" s="11"/>
      <c r="J24" s="11">
        <v>0</v>
      </c>
      <c r="K24" s="11">
        <v>0</v>
      </c>
      <c r="L24" s="11">
        <v>0</v>
      </c>
      <c r="M24" s="11"/>
      <c r="N24" s="12"/>
      <c r="O24" s="123">
        <f>SUM(Tabla25[[#This Row],[Gener]:[Desembre]])</f>
        <v>0</v>
      </c>
    </row>
    <row r="25" spans="1:19" x14ac:dyDescent="0.25">
      <c r="A25" s="13">
        <v>22</v>
      </c>
      <c r="B25" s="46" t="s">
        <v>19</v>
      </c>
      <c r="C25" s="110">
        <v>5060</v>
      </c>
      <c r="D25" s="11">
        <v>4940</v>
      </c>
      <c r="E25" s="11">
        <v>6460</v>
      </c>
      <c r="F25" s="11">
        <v>5900</v>
      </c>
      <c r="G25" s="11">
        <v>5240</v>
      </c>
      <c r="H25" s="146">
        <v>5220</v>
      </c>
      <c r="I25" s="11">
        <v>4320</v>
      </c>
      <c r="J25" s="11">
        <v>2680</v>
      </c>
      <c r="K25" s="11">
        <v>4160</v>
      </c>
      <c r="L25" s="11">
        <v>5480</v>
      </c>
      <c r="M25" s="11">
        <v>5640</v>
      </c>
      <c r="N25" s="12">
        <v>5400</v>
      </c>
      <c r="O25" s="123">
        <f>SUM(Tabla25[[#This Row],[Gener]:[Desembre]])</f>
        <v>60500</v>
      </c>
    </row>
    <row r="26" spans="1:19" x14ac:dyDescent="0.25">
      <c r="A26" s="13">
        <v>23</v>
      </c>
      <c r="B26" s="47" t="s">
        <v>43</v>
      </c>
      <c r="C26" s="110"/>
      <c r="D26" s="11">
        <v>0</v>
      </c>
      <c r="E26" s="11"/>
      <c r="F26" s="11"/>
      <c r="G26" s="11">
        <v>0</v>
      </c>
      <c r="H26" s="146">
        <v>0</v>
      </c>
      <c r="I26" s="11"/>
      <c r="J26" s="11">
        <v>0</v>
      </c>
      <c r="K26" s="11">
        <v>0</v>
      </c>
      <c r="L26" s="11">
        <v>0</v>
      </c>
      <c r="M26" s="11"/>
      <c r="N26" s="12"/>
      <c r="O26" s="123">
        <f>SUM(Tabla25[[#This Row],[Gener]:[Desembre]])</f>
        <v>0</v>
      </c>
    </row>
    <row r="27" spans="1:19" x14ac:dyDescent="0.25">
      <c r="A27" s="13">
        <v>24</v>
      </c>
      <c r="B27" s="47" t="s">
        <v>44</v>
      </c>
      <c r="C27" s="111">
        <v>2880</v>
      </c>
      <c r="D27" s="112">
        <v>3320</v>
      </c>
      <c r="E27" s="112">
        <v>5300</v>
      </c>
      <c r="F27" s="112">
        <v>3600</v>
      </c>
      <c r="G27" s="112">
        <v>7000</v>
      </c>
      <c r="H27" s="112">
        <v>3040</v>
      </c>
      <c r="I27" s="113">
        <v>3640</v>
      </c>
      <c r="J27" s="114">
        <v>7120</v>
      </c>
      <c r="K27" s="11">
        <v>6080</v>
      </c>
      <c r="L27" s="11">
        <v>4500</v>
      </c>
      <c r="M27" s="11">
        <v>2760</v>
      </c>
      <c r="N27" s="12">
        <v>3320</v>
      </c>
      <c r="O27" s="123">
        <f>SUM(Tabla25[[#This Row],[Gener]:[Desembre]])</f>
        <v>52560</v>
      </c>
    </row>
    <row r="28" spans="1:19" x14ac:dyDescent="0.25">
      <c r="A28" s="13">
        <v>25</v>
      </c>
      <c r="B28" s="46" t="s">
        <v>20</v>
      </c>
      <c r="C28" s="110"/>
      <c r="D28" s="11">
        <v>0</v>
      </c>
      <c r="E28" s="11"/>
      <c r="F28" s="11"/>
      <c r="G28" s="11">
        <v>0</v>
      </c>
      <c r="H28" s="146">
        <v>0</v>
      </c>
      <c r="I28" s="11"/>
      <c r="J28" s="11">
        <v>0</v>
      </c>
      <c r="K28" s="11"/>
      <c r="L28" s="11">
        <v>0</v>
      </c>
      <c r="M28" s="11"/>
      <c r="N28" s="12"/>
      <c r="O28" s="123">
        <f>SUM(Tabla25[[#This Row],[Gener]:[Desembre]])</f>
        <v>0</v>
      </c>
    </row>
    <row r="29" spans="1:19" x14ac:dyDescent="0.25">
      <c r="A29" s="13">
        <v>26</v>
      </c>
      <c r="B29" s="47" t="s">
        <v>45</v>
      </c>
      <c r="C29" s="155">
        <v>350.4</v>
      </c>
      <c r="D29" s="156">
        <v>322.8</v>
      </c>
      <c r="E29" s="156">
        <v>409.2</v>
      </c>
      <c r="F29" s="156">
        <v>331.2</v>
      </c>
      <c r="G29" s="156">
        <v>350.4</v>
      </c>
      <c r="H29" s="156">
        <v>468</v>
      </c>
      <c r="I29" s="156">
        <v>373.2</v>
      </c>
      <c r="J29" s="156">
        <v>334.8</v>
      </c>
      <c r="K29" s="156">
        <v>447.59999999999997</v>
      </c>
      <c r="L29" s="156">
        <v>322.8</v>
      </c>
      <c r="M29" s="156">
        <v>328.8</v>
      </c>
      <c r="N29" s="157">
        <v>442.8</v>
      </c>
      <c r="O29" s="123">
        <f>SUM(Tabla25[[#This Row],[Gener]:[Desembre]])</f>
        <v>4482</v>
      </c>
    </row>
    <row r="30" spans="1:19" x14ac:dyDescent="0.25">
      <c r="A30" s="13">
        <v>27</v>
      </c>
      <c r="B30" s="47" t="s">
        <v>46</v>
      </c>
      <c r="C30" s="111"/>
      <c r="D30" s="112">
        <v>0</v>
      </c>
      <c r="E30" s="112"/>
      <c r="F30" s="112"/>
      <c r="G30" s="11">
        <v>0</v>
      </c>
      <c r="H30" s="146">
        <v>0</v>
      </c>
      <c r="I30" s="11"/>
      <c r="J30" s="11">
        <v>0</v>
      </c>
      <c r="K30" s="11">
        <v>0</v>
      </c>
      <c r="L30" s="11">
        <v>0</v>
      </c>
      <c r="M30" s="11"/>
      <c r="N30" s="12"/>
      <c r="O30" s="123">
        <f>SUM(Tabla25[[#This Row],[Gener]:[Desembre]])</f>
        <v>0</v>
      </c>
    </row>
    <row r="31" spans="1:19" x14ac:dyDescent="0.25">
      <c r="A31" s="13">
        <v>28</v>
      </c>
      <c r="B31" s="47" t="s">
        <v>47</v>
      </c>
      <c r="C31" s="110"/>
      <c r="D31" s="11">
        <v>0</v>
      </c>
      <c r="E31" s="11"/>
      <c r="F31" s="11"/>
      <c r="G31" s="11">
        <v>0</v>
      </c>
      <c r="H31" s="146">
        <v>0</v>
      </c>
      <c r="I31" s="11"/>
      <c r="J31" s="11">
        <v>0</v>
      </c>
      <c r="K31" s="11">
        <v>0</v>
      </c>
      <c r="L31" s="11">
        <v>0</v>
      </c>
      <c r="M31" s="11"/>
      <c r="N31" s="12"/>
      <c r="O31" s="123">
        <f>SUM(Tabla25[[#This Row],[Gener]:[Desembre]])</f>
        <v>0</v>
      </c>
    </row>
    <row r="32" spans="1:19" x14ac:dyDescent="0.25">
      <c r="A32" s="13">
        <v>29</v>
      </c>
      <c r="B32" s="47" t="s">
        <v>48</v>
      </c>
      <c r="C32" s="110"/>
      <c r="D32" s="11">
        <v>0</v>
      </c>
      <c r="E32" s="11"/>
      <c r="F32" s="11"/>
      <c r="G32" s="11">
        <v>0</v>
      </c>
      <c r="H32" s="146">
        <v>0</v>
      </c>
      <c r="I32" s="11"/>
      <c r="J32" s="11">
        <v>0</v>
      </c>
      <c r="K32" s="11">
        <v>0</v>
      </c>
      <c r="L32" s="11">
        <v>0</v>
      </c>
      <c r="M32" s="11"/>
      <c r="N32" s="12"/>
      <c r="O32" s="123">
        <f>SUM(Tabla25[[#This Row],[Gener]:[Desembre]])</f>
        <v>0</v>
      </c>
    </row>
    <row r="33" spans="1:15" x14ac:dyDescent="0.25">
      <c r="A33" s="13">
        <v>30</v>
      </c>
      <c r="B33" s="47" t="s">
        <v>50</v>
      </c>
      <c r="C33" s="110"/>
      <c r="D33" s="11"/>
      <c r="E33" s="11"/>
      <c r="F33" s="11"/>
      <c r="G33" s="11"/>
      <c r="H33" s="146"/>
      <c r="I33" s="11"/>
      <c r="J33" s="11"/>
      <c r="K33" s="11"/>
      <c r="L33" s="11"/>
      <c r="M33" s="11"/>
      <c r="N33" s="12"/>
      <c r="O33" s="123">
        <f>SUM(Tabla25[[#This Row],[Gener]:[Desembre]])</f>
        <v>0</v>
      </c>
    </row>
    <row r="34" spans="1:15" x14ac:dyDescent="0.25">
      <c r="A34" s="13">
        <v>31</v>
      </c>
      <c r="B34" s="47" t="s">
        <v>51</v>
      </c>
      <c r="C34" s="110"/>
      <c r="D34" s="11">
        <v>0</v>
      </c>
      <c r="E34" s="11"/>
      <c r="F34" s="11"/>
      <c r="G34" s="11">
        <v>0</v>
      </c>
      <c r="H34" s="146">
        <v>0</v>
      </c>
      <c r="I34" s="11"/>
      <c r="J34" s="11">
        <v>0</v>
      </c>
      <c r="K34" s="11">
        <v>0</v>
      </c>
      <c r="L34" s="11">
        <v>0</v>
      </c>
      <c r="M34" s="11"/>
      <c r="N34" s="12"/>
      <c r="O34" s="123">
        <f>SUM(Tabla25[[#This Row],[Gener]:[Desembre]])</f>
        <v>0</v>
      </c>
    </row>
    <row r="35" spans="1:15" x14ac:dyDescent="0.25">
      <c r="A35" s="13">
        <v>32</v>
      </c>
      <c r="B35" s="47" t="s">
        <v>52</v>
      </c>
      <c r="C35" s="110"/>
      <c r="D35" s="11">
        <v>0</v>
      </c>
      <c r="E35" s="11"/>
      <c r="F35" s="11"/>
      <c r="G35" s="11">
        <v>0</v>
      </c>
      <c r="H35" s="146">
        <v>0</v>
      </c>
      <c r="I35" s="11"/>
      <c r="J35" s="11">
        <v>0</v>
      </c>
      <c r="K35" s="11">
        <v>0</v>
      </c>
      <c r="L35" s="11">
        <v>0</v>
      </c>
      <c r="M35" s="11"/>
      <c r="N35" s="12"/>
      <c r="O35" s="123">
        <f>SUM(Tabla25[[#This Row],[Gener]:[Desembre]])</f>
        <v>0</v>
      </c>
    </row>
    <row r="36" spans="1:15" x14ac:dyDescent="0.25">
      <c r="A36" s="13">
        <v>33</v>
      </c>
      <c r="B36" s="46" t="s">
        <v>21</v>
      </c>
      <c r="C36" s="110"/>
      <c r="D36" s="11">
        <v>0</v>
      </c>
      <c r="E36" s="11"/>
      <c r="F36" s="11"/>
      <c r="G36" s="11">
        <v>0</v>
      </c>
      <c r="H36" s="146">
        <v>0</v>
      </c>
      <c r="I36" s="11"/>
      <c r="J36" s="11">
        <v>0</v>
      </c>
      <c r="K36" s="11">
        <v>0</v>
      </c>
      <c r="L36" s="11">
        <v>0</v>
      </c>
      <c r="M36" s="11"/>
      <c r="N36" s="12"/>
      <c r="O36" s="123">
        <f>SUM(Tabla25[[#This Row],[Gener]:[Desembre]])</f>
        <v>0</v>
      </c>
    </row>
    <row r="37" spans="1:15" x14ac:dyDescent="0.25">
      <c r="A37" s="13">
        <v>34</v>
      </c>
      <c r="B37" s="46" t="s">
        <v>22</v>
      </c>
      <c r="C37" s="110"/>
      <c r="D37" s="11">
        <v>0</v>
      </c>
      <c r="E37" s="11"/>
      <c r="F37" s="11"/>
      <c r="G37" s="11">
        <v>0</v>
      </c>
      <c r="H37" s="146">
        <v>0</v>
      </c>
      <c r="I37" s="11"/>
      <c r="J37" s="11">
        <v>0</v>
      </c>
      <c r="K37" s="11">
        <v>0</v>
      </c>
      <c r="L37" s="11">
        <v>0</v>
      </c>
      <c r="M37" s="11"/>
      <c r="N37" s="12"/>
      <c r="O37" s="123">
        <f>SUM(Tabla25[[#This Row],[Gener]:[Desembre]])</f>
        <v>0</v>
      </c>
    </row>
    <row r="38" spans="1:15" x14ac:dyDescent="0.25">
      <c r="A38" s="13">
        <v>35</v>
      </c>
      <c r="B38" s="46" t="s">
        <v>23</v>
      </c>
      <c r="C38" s="110"/>
      <c r="D38" s="11">
        <v>0</v>
      </c>
      <c r="E38" s="11"/>
      <c r="F38" s="11"/>
      <c r="G38" s="11">
        <v>0</v>
      </c>
      <c r="H38" s="146">
        <v>0</v>
      </c>
      <c r="I38" s="11"/>
      <c r="J38" s="11">
        <v>0</v>
      </c>
      <c r="K38" s="11">
        <v>0</v>
      </c>
      <c r="L38" s="11">
        <v>0</v>
      </c>
      <c r="M38" s="11"/>
      <c r="N38" s="12"/>
      <c r="O38" s="123">
        <f>SUM(Tabla25[[#This Row],[Gener]:[Desembre]])</f>
        <v>0</v>
      </c>
    </row>
    <row r="39" spans="1:15" x14ac:dyDescent="0.25">
      <c r="A39" s="13">
        <v>36</v>
      </c>
      <c r="B39" s="46" t="s">
        <v>24</v>
      </c>
      <c r="C39" s="110"/>
      <c r="D39" s="11">
        <v>0</v>
      </c>
      <c r="E39" s="11"/>
      <c r="F39" s="11"/>
      <c r="G39" s="11">
        <v>0</v>
      </c>
      <c r="H39" s="146">
        <v>0</v>
      </c>
      <c r="I39" s="11"/>
      <c r="J39" s="11">
        <v>0</v>
      </c>
      <c r="K39" s="11">
        <v>0</v>
      </c>
      <c r="L39" s="11">
        <v>0</v>
      </c>
      <c r="M39" s="11"/>
      <c r="N39" s="12"/>
      <c r="O39" s="123">
        <f>SUM(Tabla25[[#This Row],[Gener]:[Desembre]])</f>
        <v>0</v>
      </c>
    </row>
    <row r="40" spans="1:15" x14ac:dyDescent="0.25">
      <c r="A40" s="13">
        <v>37</v>
      </c>
      <c r="B40" s="46" t="s">
        <v>25</v>
      </c>
      <c r="C40" s="110"/>
      <c r="D40" s="11">
        <v>0</v>
      </c>
      <c r="E40" s="11"/>
      <c r="F40" s="11"/>
      <c r="G40" s="11">
        <v>0</v>
      </c>
      <c r="H40" s="146">
        <v>0</v>
      </c>
      <c r="I40" s="11"/>
      <c r="J40" s="11">
        <v>0</v>
      </c>
      <c r="K40" s="11">
        <v>0</v>
      </c>
      <c r="L40" s="11">
        <v>0</v>
      </c>
      <c r="M40" s="11"/>
      <c r="N40" s="12"/>
      <c r="O40" s="123">
        <f>SUM(Tabla25[[#This Row],[Gener]:[Desembre]])</f>
        <v>0</v>
      </c>
    </row>
    <row r="41" spans="1:15" x14ac:dyDescent="0.25">
      <c r="A41" s="13">
        <v>38</v>
      </c>
      <c r="B41" s="46" t="s">
        <v>5</v>
      </c>
      <c r="C41" s="110"/>
      <c r="D41" s="11">
        <v>0</v>
      </c>
      <c r="E41" s="11"/>
      <c r="F41" s="11"/>
      <c r="G41" s="11">
        <v>0</v>
      </c>
      <c r="H41" s="146">
        <v>0</v>
      </c>
      <c r="I41" s="11"/>
      <c r="J41" s="11">
        <v>0</v>
      </c>
      <c r="K41" s="11">
        <v>0</v>
      </c>
      <c r="L41" s="11">
        <v>0</v>
      </c>
      <c r="M41" s="11"/>
      <c r="N41" s="12"/>
      <c r="O41" s="123">
        <f>SUM(Tabla25[[#This Row],[Gener]:[Desembre]])</f>
        <v>0</v>
      </c>
    </row>
    <row r="42" spans="1:15" x14ac:dyDescent="0.25">
      <c r="A42" s="13">
        <v>39</v>
      </c>
      <c r="B42" s="46" t="s">
        <v>6</v>
      </c>
      <c r="C42" s="111">
        <v>2960</v>
      </c>
      <c r="D42" s="112">
        <v>2560</v>
      </c>
      <c r="E42" s="112">
        <v>2040</v>
      </c>
      <c r="F42" s="112">
        <v>1800</v>
      </c>
      <c r="G42" s="112">
        <v>2960</v>
      </c>
      <c r="H42" s="112">
        <v>2280</v>
      </c>
      <c r="I42" s="113">
        <v>3480</v>
      </c>
      <c r="J42" s="114">
        <v>3241</v>
      </c>
      <c r="K42" s="11">
        <v>3175</v>
      </c>
      <c r="L42" s="11">
        <v>2864</v>
      </c>
      <c r="M42" s="11">
        <v>2000</v>
      </c>
      <c r="N42" s="12">
        <v>1400</v>
      </c>
      <c r="O42" s="123">
        <f>SUM(Tabla25[[#This Row],[Gener]:[Desembre]])</f>
        <v>30760</v>
      </c>
    </row>
    <row r="43" spans="1:15" x14ac:dyDescent="0.25">
      <c r="A43" s="13">
        <v>40</v>
      </c>
      <c r="B43" s="46" t="s">
        <v>8</v>
      </c>
      <c r="C43" s="43"/>
      <c r="D43" s="34">
        <v>0</v>
      </c>
      <c r="E43" s="34"/>
      <c r="F43" s="34"/>
      <c r="G43" s="34">
        <v>0</v>
      </c>
      <c r="H43" s="147">
        <v>0</v>
      </c>
      <c r="I43" s="34"/>
      <c r="J43" s="34">
        <v>0</v>
      </c>
      <c r="K43" s="34">
        <v>0</v>
      </c>
      <c r="L43" s="34">
        <v>0</v>
      </c>
      <c r="M43" s="34"/>
      <c r="N43" s="35"/>
      <c r="O43" s="123">
        <f>SUM(Tabla25[[#This Row],[Gener]:[Desembre]])</f>
        <v>0</v>
      </c>
    </row>
    <row r="44" spans="1:15" ht="15.75" thickBot="1" x14ac:dyDescent="0.3">
      <c r="A44" s="69">
        <v>41</v>
      </c>
      <c r="B44" s="73" t="s">
        <v>49</v>
      </c>
      <c r="C44" s="43"/>
      <c r="D44" s="34">
        <v>0</v>
      </c>
      <c r="E44" s="34"/>
      <c r="F44" s="22"/>
      <c r="G44" s="22">
        <v>0</v>
      </c>
      <c r="H44" s="148">
        <v>0</v>
      </c>
      <c r="I44" s="22"/>
      <c r="J44" s="34">
        <v>0</v>
      </c>
      <c r="K44" s="34">
        <v>0</v>
      </c>
      <c r="L44" s="22">
        <v>0</v>
      </c>
      <c r="M44" s="22"/>
      <c r="N44" s="36"/>
      <c r="O44" s="124">
        <f>SUM(Tabla25[[#This Row],[Gener]:[Desembre]])</f>
        <v>0</v>
      </c>
    </row>
    <row r="45" spans="1:15" s="4" customFormat="1" ht="15.75" thickBot="1" x14ac:dyDescent="0.3">
      <c r="A45" s="70"/>
      <c r="B45" s="23" t="s">
        <v>61</v>
      </c>
      <c r="C45" s="42">
        <f t="shared" ref="C45:L45" si="0">SUBTOTAL(109,C5:C44)</f>
        <v>91010.4</v>
      </c>
      <c r="D45" s="6">
        <f t="shared" si="0"/>
        <v>87912.8</v>
      </c>
      <c r="E45" s="6">
        <f t="shared" si="0"/>
        <v>97429.2</v>
      </c>
      <c r="F45" s="6">
        <f t="shared" si="0"/>
        <v>87691.199999999997</v>
      </c>
      <c r="G45" s="6">
        <f t="shared" si="0"/>
        <v>92410.4</v>
      </c>
      <c r="H45" s="6">
        <f t="shared" si="0"/>
        <v>94128</v>
      </c>
      <c r="I45" s="6">
        <f t="shared" si="0"/>
        <v>99633.2</v>
      </c>
      <c r="J45" s="6">
        <f t="shared" si="0"/>
        <v>71115.8</v>
      </c>
      <c r="K45" s="6">
        <f t="shared" si="0"/>
        <v>99149.97</v>
      </c>
      <c r="L45" s="6">
        <f t="shared" si="0"/>
        <v>97146.8</v>
      </c>
      <c r="M45" s="6">
        <f>SUM(M5:M44)</f>
        <v>89768.8</v>
      </c>
      <c r="N45" s="6">
        <f>SUM(N5:N44)</f>
        <v>107522.8</v>
      </c>
      <c r="O45" s="8">
        <f>SUBTOTAL(109,O5:O44)</f>
        <v>1114919.3700000001</v>
      </c>
    </row>
    <row r="46" spans="1:15" ht="15.75" thickBot="1" x14ac:dyDescent="0.3">
      <c r="A46" s="71"/>
      <c r="B46" s="49" t="s">
        <v>60</v>
      </c>
      <c r="C46" s="44">
        <v>117562.40000000001</v>
      </c>
      <c r="D46" s="37">
        <v>113714.20000000001</v>
      </c>
      <c r="E46" s="37">
        <v>76752.799999999988</v>
      </c>
      <c r="F46" s="37">
        <v>44676.800000000003</v>
      </c>
      <c r="G46" s="37">
        <v>71634.2</v>
      </c>
      <c r="H46" s="37">
        <v>98263.43</v>
      </c>
      <c r="I46" s="37">
        <v>115521.59999999999</v>
      </c>
      <c r="J46" s="37">
        <v>68612.999999999985</v>
      </c>
      <c r="K46" s="37">
        <v>109846.40000000001</v>
      </c>
      <c r="L46" s="37">
        <v>110135.4</v>
      </c>
      <c r="M46" s="37">
        <v>94519.2</v>
      </c>
      <c r="N46" s="39">
        <v>113944.79999999999</v>
      </c>
      <c r="O46" s="41">
        <f>SUM(Tabla25[[#This Row],[Gener]:[Desembre]])</f>
        <v>1135184.23</v>
      </c>
    </row>
    <row r="47" spans="1:15" x14ac:dyDescent="0.25">
      <c r="A47" s="72"/>
      <c r="B47" s="62" t="s">
        <v>57</v>
      </c>
      <c r="C47" s="64">
        <f>(C45/C46)-1</f>
        <v>-0.22585452491612978</v>
      </c>
      <c r="D47" s="64">
        <f>(D45/D46)-1</f>
        <v>-0.22689690469615942</v>
      </c>
      <c r="E47" s="64">
        <f t="shared" ref="E47:O47" si="1">(E45/E46)-1</f>
        <v>0.26938952064289534</v>
      </c>
      <c r="F47" s="64">
        <f t="shared" si="1"/>
        <v>0.9627905311033913</v>
      </c>
      <c r="G47" s="64">
        <f t="shared" si="1"/>
        <v>0.29003185629210626</v>
      </c>
      <c r="H47" s="64">
        <f t="shared" si="1"/>
        <v>-4.2085137878862922E-2</v>
      </c>
      <c r="I47" s="64">
        <f t="shared" si="1"/>
        <v>-0.13753618370936682</v>
      </c>
      <c r="J47" s="64">
        <f t="shared" si="1"/>
        <v>3.6477052453616876E-2</v>
      </c>
      <c r="K47" s="64">
        <f t="shared" si="1"/>
        <v>-9.7376245375360604E-2</v>
      </c>
      <c r="L47" s="64">
        <f t="shared" si="1"/>
        <v>-0.11793301699544367</v>
      </c>
      <c r="M47" s="64">
        <f t="shared" si="1"/>
        <v>-5.0258571803400764E-2</v>
      </c>
      <c r="N47" s="64">
        <f t="shared" si="1"/>
        <v>-5.6360623740618121E-2</v>
      </c>
      <c r="O47" s="64">
        <f t="shared" si="1"/>
        <v>-1.7851604580518043E-2</v>
      </c>
    </row>
    <row r="48" spans="1:15" x14ac:dyDescent="0.25">
      <c r="B48" s="154" t="s">
        <v>67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5:16" x14ac:dyDescent="0.25">
      <c r="P49" s="21"/>
    </row>
    <row r="50" spans="5:16" x14ac:dyDescent="0.25">
      <c r="E50" s="63"/>
      <c r="H50" s="65"/>
      <c r="P50" s="21"/>
    </row>
  </sheetData>
  <sheetProtection password="C412"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showZeros="0" zoomScale="85" zoomScaleNormal="85" workbookViewId="0">
      <selection activeCell="J35" sqref="J35"/>
    </sheetView>
  </sheetViews>
  <sheetFormatPr baseColWidth="10" defaultColWidth="11.42578125" defaultRowHeight="15" x14ac:dyDescent="0.25"/>
  <cols>
    <col min="1" max="1" width="5.28515625" style="3" customWidth="1"/>
    <col min="2" max="2" width="26.140625" style="20" bestFit="1" customWidth="1"/>
    <col min="3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68</v>
      </c>
    </row>
    <row r="3" spans="1:15" ht="15.75" thickBot="1" x14ac:dyDescent="0.3">
      <c r="C3" s="4" t="s">
        <v>53</v>
      </c>
    </row>
    <row r="4" spans="1:15" ht="15.75" thickBot="1" x14ac:dyDescent="0.3">
      <c r="A4" s="8" t="s">
        <v>59</v>
      </c>
      <c r="B4" s="23" t="s">
        <v>56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7" t="s">
        <v>38</v>
      </c>
    </row>
    <row r="5" spans="1:15" x14ac:dyDescent="0.25">
      <c r="A5" s="81">
        <v>1</v>
      </c>
      <c r="B5" s="78" t="s">
        <v>39</v>
      </c>
      <c r="C5" s="56">
        <v>14072.7</v>
      </c>
      <c r="D5" s="51">
        <v>12755.02</v>
      </c>
      <c r="E5" s="59">
        <v>14938.91</v>
      </c>
      <c r="F5" s="9">
        <v>13768.96</v>
      </c>
      <c r="G5" s="9">
        <v>13836.76</v>
      </c>
      <c r="H5" s="9">
        <v>16354</v>
      </c>
      <c r="I5" s="9">
        <v>16409</v>
      </c>
      <c r="J5" s="9">
        <v>14410.24</v>
      </c>
      <c r="K5" s="9">
        <v>13700.93</v>
      </c>
      <c r="L5" s="9">
        <v>12505.13</v>
      </c>
      <c r="M5" s="9">
        <v>14445.96</v>
      </c>
      <c r="N5" s="10">
        <v>13151</v>
      </c>
      <c r="O5" s="104">
        <f>SUM(Tabla3[[#This Row],[Gener]:[Desembre]])</f>
        <v>170348.61000000002</v>
      </c>
    </row>
    <row r="6" spans="1:15" x14ac:dyDescent="0.25">
      <c r="A6" s="13">
        <v>2</v>
      </c>
      <c r="B6" s="79" t="s">
        <v>0</v>
      </c>
      <c r="C6" s="57">
        <v>12581.61</v>
      </c>
      <c r="D6" s="53">
        <v>11720.36</v>
      </c>
      <c r="E6" s="60">
        <v>14527.47</v>
      </c>
      <c r="F6" s="11">
        <v>14507.25</v>
      </c>
      <c r="G6" s="11">
        <v>15177.25</v>
      </c>
      <c r="H6" s="11">
        <v>13657.73</v>
      </c>
      <c r="I6" s="11">
        <v>15322.72</v>
      </c>
      <c r="J6" s="11">
        <v>16001</v>
      </c>
      <c r="K6" s="11">
        <v>14585.86</v>
      </c>
      <c r="L6" s="11">
        <v>12035.61</v>
      </c>
      <c r="M6" s="11">
        <v>13294.24</v>
      </c>
      <c r="N6" s="12">
        <v>13276</v>
      </c>
      <c r="O6" s="105">
        <f>SUM(Tabla3[[#This Row],[Gener]:[Desembre]])</f>
        <v>166687.09999999998</v>
      </c>
    </row>
    <row r="7" spans="1:15" x14ac:dyDescent="0.25">
      <c r="A7" s="13">
        <v>3</v>
      </c>
      <c r="B7" s="79" t="s">
        <v>1</v>
      </c>
      <c r="C7" s="57">
        <v>44005.09</v>
      </c>
      <c r="D7" s="53">
        <f>25805.23+16918.57</f>
        <v>42723.8</v>
      </c>
      <c r="E7" s="60">
        <v>47400</v>
      </c>
      <c r="F7" s="11">
        <v>47720</v>
      </c>
      <c r="G7" s="11">
        <v>50120</v>
      </c>
      <c r="H7" s="11">
        <v>49540</v>
      </c>
      <c r="I7" s="11">
        <v>50448.26</v>
      </c>
      <c r="J7" s="11">
        <v>46887.82</v>
      </c>
      <c r="K7" s="11">
        <v>48851.82</v>
      </c>
      <c r="L7" s="11">
        <v>48840</v>
      </c>
      <c r="M7" s="11">
        <v>48740</v>
      </c>
      <c r="N7" s="12">
        <v>50080</v>
      </c>
      <c r="O7" s="105">
        <f>SUM(Tabla3[[#This Row],[Gener]:[Desembre]])</f>
        <v>575356.79</v>
      </c>
    </row>
    <row r="8" spans="1:15" x14ac:dyDescent="0.25">
      <c r="A8" s="13">
        <v>4</v>
      </c>
      <c r="B8" s="79" t="s">
        <v>2</v>
      </c>
      <c r="C8" s="57">
        <v>1093.32</v>
      </c>
      <c r="D8" s="53">
        <v>1082.3699999999999</v>
      </c>
      <c r="E8" s="60">
        <v>1661.5</v>
      </c>
      <c r="F8" s="11">
        <v>1411.37</v>
      </c>
      <c r="G8" s="11">
        <v>1509.18</v>
      </c>
      <c r="H8" s="11">
        <v>1900.38</v>
      </c>
      <c r="I8" s="11">
        <v>1781.45</v>
      </c>
      <c r="J8" s="11">
        <v>1917.65</v>
      </c>
      <c r="K8" s="11">
        <v>1707.29</v>
      </c>
      <c r="L8" s="11">
        <v>1323.73</v>
      </c>
      <c r="M8" s="11">
        <v>1424.27</v>
      </c>
      <c r="N8" s="12">
        <v>1495</v>
      </c>
      <c r="O8" s="105">
        <f>SUM(Tabla3[[#This Row],[Gener]:[Desembre]])</f>
        <v>18307.509999999998</v>
      </c>
    </row>
    <row r="9" spans="1:15" x14ac:dyDescent="0.25">
      <c r="A9" s="13">
        <v>5</v>
      </c>
      <c r="B9" s="79" t="s">
        <v>3</v>
      </c>
      <c r="C9" s="57">
        <v>16630.77</v>
      </c>
      <c r="D9" s="53">
        <v>15780</v>
      </c>
      <c r="E9" s="60">
        <v>18680</v>
      </c>
      <c r="F9" s="11">
        <v>18360</v>
      </c>
      <c r="G9" s="11">
        <v>16500</v>
      </c>
      <c r="H9" s="11">
        <v>18760</v>
      </c>
      <c r="I9" s="11">
        <v>19000</v>
      </c>
      <c r="J9" s="11">
        <v>16580</v>
      </c>
      <c r="K9" s="11">
        <v>17500</v>
      </c>
      <c r="L9" s="11">
        <v>19000</v>
      </c>
      <c r="M9" s="11">
        <v>19040</v>
      </c>
      <c r="N9" s="12">
        <v>17120</v>
      </c>
      <c r="O9" s="105">
        <f>SUM(Tabla3[[#This Row],[Gener]:[Desembre]])</f>
        <v>212950.77000000002</v>
      </c>
    </row>
    <row r="10" spans="1:15" x14ac:dyDescent="0.25">
      <c r="A10" s="13">
        <v>6</v>
      </c>
      <c r="B10" s="79" t="s">
        <v>4</v>
      </c>
      <c r="C10" s="57">
        <v>31895.360000000001</v>
      </c>
      <c r="D10" s="53">
        <v>31241.57</v>
      </c>
      <c r="E10" s="60">
        <v>38317.17</v>
      </c>
      <c r="F10" s="11">
        <v>31092.92</v>
      </c>
      <c r="G10" s="11">
        <v>33663.14</v>
      </c>
      <c r="H10" s="11">
        <v>33454.51</v>
      </c>
      <c r="I10" s="11">
        <v>34140.959999999999</v>
      </c>
      <c r="J10" s="11">
        <v>30758.92</v>
      </c>
      <c r="K10" s="11">
        <v>31423.5</v>
      </c>
      <c r="L10" s="11">
        <v>31482.52</v>
      </c>
      <c r="M10" s="11">
        <v>29653.26</v>
      </c>
      <c r="N10" s="12">
        <v>34036</v>
      </c>
      <c r="O10" s="105">
        <f>SUM(Tabla3[[#This Row],[Gener]:[Desembre]])</f>
        <v>391159.83000000007</v>
      </c>
    </row>
    <row r="11" spans="1:15" x14ac:dyDescent="0.25">
      <c r="A11" s="13">
        <v>8</v>
      </c>
      <c r="B11" s="79" t="s">
        <v>7</v>
      </c>
      <c r="C11" s="57">
        <v>1747.48</v>
      </c>
      <c r="D11" s="53">
        <v>1734.88</v>
      </c>
      <c r="E11" s="60">
        <v>2873.22</v>
      </c>
      <c r="F11" s="74">
        <v>2500.59</v>
      </c>
      <c r="G11" s="74">
        <v>2464.5300000000002</v>
      </c>
      <c r="H11" s="74">
        <v>3670.99</v>
      </c>
      <c r="I11" s="74">
        <v>2846.26</v>
      </c>
      <c r="J11" s="74">
        <v>3366.82</v>
      </c>
      <c r="K11" s="74">
        <v>2882.74</v>
      </c>
      <c r="L11" s="74">
        <v>2359.54</v>
      </c>
      <c r="M11" s="74">
        <v>2332.29</v>
      </c>
      <c r="N11" s="75">
        <v>2745</v>
      </c>
      <c r="O11" s="105">
        <f>SUM(Tabla3[[#This Row],[Gener]:[Desembre]])</f>
        <v>31524.340000000004</v>
      </c>
    </row>
    <row r="12" spans="1:15" x14ac:dyDescent="0.25">
      <c r="A12" s="13">
        <v>9</v>
      </c>
      <c r="B12" s="80" t="s">
        <v>40</v>
      </c>
      <c r="C12" s="57"/>
      <c r="D12" s="53"/>
      <c r="E12" s="60"/>
      <c r="F12" s="11"/>
      <c r="G12" s="11"/>
      <c r="H12" s="11"/>
      <c r="I12" s="11"/>
      <c r="J12" s="11">
        <v>0</v>
      </c>
      <c r="K12" s="11">
        <v>0</v>
      </c>
      <c r="L12" s="11">
        <v>0</v>
      </c>
      <c r="M12" s="11"/>
      <c r="N12" s="12"/>
      <c r="O12" s="105">
        <f>SUM(Tabla3[[#This Row],[Gener]:[Desembre]])</f>
        <v>0</v>
      </c>
    </row>
    <row r="13" spans="1:15" x14ac:dyDescent="0.25">
      <c r="A13" s="13">
        <v>10</v>
      </c>
      <c r="B13" s="80" t="s">
        <v>41</v>
      </c>
      <c r="C13" s="57">
        <v>28227.24</v>
      </c>
      <c r="D13" s="53"/>
      <c r="E13" s="60">
        <v>30047.48</v>
      </c>
      <c r="F13" s="11">
        <v>29127.5</v>
      </c>
      <c r="G13" s="11">
        <v>28481.45</v>
      </c>
      <c r="H13" s="11">
        <v>27838.1</v>
      </c>
      <c r="I13" s="11">
        <v>26902.66</v>
      </c>
      <c r="J13" s="11">
        <v>25675.49</v>
      </c>
      <c r="K13" s="11">
        <v>26970.63</v>
      </c>
      <c r="L13" s="11">
        <v>28183.26</v>
      </c>
      <c r="M13" s="11">
        <v>29739.02</v>
      </c>
      <c r="N13" s="12">
        <v>28884</v>
      </c>
      <c r="O13" s="105">
        <f>SUM(Tabla3[[#This Row],[Gener]:[Desembre]])</f>
        <v>310076.83</v>
      </c>
    </row>
    <row r="14" spans="1:15" x14ac:dyDescent="0.25">
      <c r="A14" s="13">
        <v>11</v>
      </c>
      <c r="B14" s="79" t="s">
        <v>9</v>
      </c>
      <c r="C14" s="57">
        <f>4791.76+1780+91169.23</f>
        <v>97740.989999999991</v>
      </c>
      <c r="D14" s="53">
        <f>4852.62+2640+81560</f>
        <v>89052.62</v>
      </c>
      <c r="E14" s="60">
        <v>97885.34</v>
      </c>
      <c r="F14" s="11">
        <f>5320.67+2520+86420</f>
        <v>94260.67</v>
      </c>
      <c r="G14" s="11">
        <f>5583.09+2580+91360</f>
        <v>99523.09</v>
      </c>
      <c r="H14" s="11">
        <v>99364.13</v>
      </c>
      <c r="I14" s="11">
        <v>99232.23</v>
      </c>
      <c r="J14" s="11">
        <v>85238.82</v>
      </c>
      <c r="K14" s="11">
        <v>98843.24</v>
      </c>
      <c r="L14" s="11">
        <v>97563.78</v>
      </c>
      <c r="M14" s="11">
        <v>100082.1</v>
      </c>
      <c r="N14" s="12">
        <v>93058</v>
      </c>
      <c r="O14" s="105">
        <f>SUM(Tabla3[[#This Row],[Gener]:[Desembre]])</f>
        <v>1151845.01</v>
      </c>
    </row>
    <row r="15" spans="1:15" x14ac:dyDescent="0.25">
      <c r="A15" s="13">
        <v>12</v>
      </c>
      <c r="B15" s="79" t="s">
        <v>10</v>
      </c>
      <c r="C15" s="57">
        <v>3017.73</v>
      </c>
      <c r="D15" s="53">
        <v>2873.86</v>
      </c>
      <c r="E15" s="60">
        <v>3999.33</v>
      </c>
      <c r="F15" s="11">
        <v>2911.63</v>
      </c>
      <c r="G15" s="11">
        <v>3442.56</v>
      </c>
      <c r="H15" s="11">
        <v>4854.0200000000004</v>
      </c>
      <c r="I15" s="11">
        <v>3884.69</v>
      </c>
      <c r="J15" s="11">
        <v>4041.61</v>
      </c>
      <c r="K15" s="11">
        <v>4452.12</v>
      </c>
      <c r="L15" s="11">
        <v>3458</v>
      </c>
      <c r="M15" s="11">
        <v>3557.13</v>
      </c>
      <c r="N15" s="12">
        <v>4149</v>
      </c>
      <c r="O15" s="105">
        <f>SUM(Tabla3[[#This Row],[Gener]:[Desembre]])</f>
        <v>44641.679999999993</v>
      </c>
    </row>
    <row r="16" spans="1:15" x14ac:dyDescent="0.25">
      <c r="A16" s="13">
        <v>13</v>
      </c>
      <c r="B16" s="80" t="s">
        <v>42</v>
      </c>
      <c r="C16" s="57">
        <f>1020+16484.31</f>
        <v>17504.310000000001</v>
      </c>
      <c r="D16" s="53">
        <f>25678.18+17561.33</f>
        <v>43239.51</v>
      </c>
      <c r="E16" s="60">
        <v>18415.03</v>
      </c>
      <c r="F16" s="11">
        <v>17858.98</v>
      </c>
      <c r="G16" s="11">
        <v>17442.560000000001</v>
      </c>
      <c r="H16" s="11">
        <v>19613.41</v>
      </c>
      <c r="I16" s="11">
        <v>18680.04</v>
      </c>
      <c r="J16" s="11">
        <v>15840</v>
      </c>
      <c r="K16" s="11">
        <v>20101.669999999998</v>
      </c>
      <c r="L16" s="11">
        <v>18967.23</v>
      </c>
      <c r="M16" s="11">
        <v>23026.87</v>
      </c>
      <c r="N16" s="12">
        <v>17684</v>
      </c>
      <c r="O16" s="105">
        <f>SUM(Tabla3[[#This Row],[Gener]:[Desembre]])</f>
        <v>248373.61000000002</v>
      </c>
    </row>
    <row r="17" spans="1:15" x14ac:dyDescent="0.25">
      <c r="A17" s="13">
        <v>14</v>
      </c>
      <c r="B17" s="79" t="s">
        <v>11</v>
      </c>
      <c r="C17" s="57"/>
      <c r="D17" s="53"/>
      <c r="E17" s="60"/>
      <c r="F17" s="11"/>
      <c r="G17" s="11"/>
      <c r="H17" s="11"/>
      <c r="I17" s="11"/>
      <c r="J17" s="11">
        <v>0</v>
      </c>
      <c r="K17" s="11">
        <v>0</v>
      </c>
      <c r="L17" s="11">
        <v>0</v>
      </c>
      <c r="M17" s="11"/>
      <c r="N17" s="12"/>
      <c r="O17" s="105">
        <f>SUM(Tabla3[[#This Row],[Gener]:[Desembre]])</f>
        <v>0</v>
      </c>
    </row>
    <row r="18" spans="1:15" x14ac:dyDescent="0.25">
      <c r="A18" s="13">
        <v>15</v>
      </c>
      <c r="B18" s="79" t="s">
        <v>12</v>
      </c>
      <c r="C18" s="57">
        <v>27880.17</v>
      </c>
      <c r="D18" s="53">
        <v>27570.61</v>
      </c>
      <c r="E18" s="60">
        <v>23634.31</v>
      </c>
      <c r="F18" s="11">
        <v>36040.6</v>
      </c>
      <c r="G18" s="11">
        <v>27828.37</v>
      </c>
      <c r="H18" s="11">
        <v>25372.45</v>
      </c>
      <c r="I18" s="11">
        <v>34907.89</v>
      </c>
      <c r="J18" s="11">
        <v>29022.35</v>
      </c>
      <c r="K18" s="11">
        <v>31778.54</v>
      </c>
      <c r="L18" s="11">
        <v>30880</v>
      </c>
      <c r="M18" s="11">
        <v>30920</v>
      </c>
      <c r="N18" s="12">
        <v>29977</v>
      </c>
      <c r="O18" s="105">
        <f>SUM(Tabla3[[#This Row],[Gener]:[Desembre]])</f>
        <v>355812.29000000004</v>
      </c>
    </row>
    <row r="19" spans="1:15" x14ac:dyDescent="0.25">
      <c r="A19" s="13">
        <v>16</v>
      </c>
      <c r="B19" s="79" t="s">
        <v>13</v>
      </c>
      <c r="C19" s="57"/>
      <c r="D19" s="53"/>
      <c r="E19" s="60"/>
      <c r="F19" s="11"/>
      <c r="G19" s="11"/>
      <c r="H19" s="11"/>
      <c r="I19" s="11"/>
      <c r="J19" s="11">
        <v>0</v>
      </c>
      <c r="K19" s="11">
        <v>0</v>
      </c>
      <c r="L19" s="11">
        <v>0</v>
      </c>
      <c r="M19" s="11"/>
      <c r="N19" s="12"/>
      <c r="O19" s="105">
        <f>SUM(Tabla3[[#This Row],[Gener]:[Desembre]])</f>
        <v>0</v>
      </c>
    </row>
    <row r="20" spans="1:15" x14ac:dyDescent="0.25">
      <c r="A20" s="13">
        <v>17</v>
      </c>
      <c r="B20" s="79" t="s">
        <v>14</v>
      </c>
      <c r="C20" s="57">
        <f>19763.93+2440</f>
        <v>22203.93</v>
      </c>
      <c r="D20" s="53">
        <f>15455.15+4320</f>
        <v>19775.150000000001</v>
      </c>
      <c r="E20" s="60">
        <v>20818.29</v>
      </c>
      <c r="F20" s="11">
        <f>17919.81+2360</f>
        <v>20279.810000000001</v>
      </c>
      <c r="G20" s="11">
        <f>18838.73+4660</f>
        <v>23498.73</v>
      </c>
      <c r="H20" s="11">
        <v>22998.9</v>
      </c>
      <c r="I20" s="11">
        <v>21122.01</v>
      </c>
      <c r="J20" s="11">
        <v>18505.690000000002</v>
      </c>
      <c r="K20" s="11">
        <v>20559.400000000001</v>
      </c>
      <c r="L20" s="11">
        <v>21330</v>
      </c>
      <c r="M20" s="11">
        <v>21150.69</v>
      </c>
      <c r="N20" s="12">
        <v>21101</v>
      </c>
      <c r="O20" s="105">
        <f>SUM(Tabla3[[#This Row],[Gener]:[Desembre]])</f>
        <v>253343.6</v>
      </c>
    </row>
    <row r="21" spans="1:15" x14ac:dyDescent="0.25">
      <c r="A21" s="13">
        <v>18</v>
      </c>
      <c r="B21" s="79" t="s">
        <v>15</v>
      </c>
      <c r="C21" s="57">
        <f>17074.11+68915.69</f>
        <v>85989.8</v>
      </c>
      <c r="D21" s="53">
        <f>15572.53+68878.67</f>
        <v>84451.199999999997</v>
      </c>
      <c r="E21" s="60">
        <v>94983.42</v>
      </c>
      <c r="F21" s="11">
        <f>17242.23+73101.02</f>
        <v>90343.25</v>
      </c>
      <c r="G21" s="11">
        <f>17094+78017.44</f>
        <v>95111.44</v>
      </c>
      <c r="H21" s="11">
        <v>88947.16</v>
      </c>
      <c r="I21" s="11">
        <v>90799.299999999988</v>
      </c>
      <c r="J21" s="11">
        <v>82098.45</v>
      </c>
      <c r="K21" s="11">
        <v>91720.34</v>
      </c>
      <c r="L21" s="11">
        <v>89579.86</v>
      </c>
      <c r="M21" s="11">
        <v>89281.34</v>
      </c>
      <c r="N21" s="12">
        <v>95613</v>
      </c>
      <c r="O21" s="105">
        <f>SUM(Tabla3[[#This Row],[Gener]:[Desembre]])</f>
        <v>1078918.56</v>
      </c>
    </row>
    <row r="22" spans="1:15" x14ac:dyDescent="0.25">
      <c r="A22" s="13">
        <v>19</v>
      </c>
      <c r="B22" s="79" t="s">
        <v>16</v>
      </c>
      <c r="C22" s="57">
        <f>12920+977.88</f>
        <v>13897.88</v>
      </c>
      <c r="D22" s="53">
        <f>1048.1+11700</f>
        <v>12748.1</v>
      </c>
      <c r="E22" s="60">
        <v>14811.92</v>
      </c>
      <c r="F22" s="11">
        <f>12940+664.43</f>
        <v>13604.43</v>
      </c>
      <c r="G22" s="11">
        <f>12000+735.02</f>
        <v>12735.02</v>
      </c>
      <c r="H22" s="11">
        <v>14479.22</v>
      </c>
      <c r="I22" s="11">
        <v>13338.77</v>
      </c>
      <c r="J22" s="11">
        <v>11363.22</v>
      </c>
      <c r="K22" s="11">
        <v>12318.29</v>
      </c>
      <c r="L22" s="11">
        <v>13676.56</v>
      </c>
      <c r="M22" s="11">
        <v>13787.5</v>
      </c>
      <c r="N22" s="12">
        <v>13509</v>
      </c>
      <c r="O22" s="105">
        <f>SUM(Tabla3[[#This Row],[Gener]:[Desembre]])</f>
        <v>160269.91</v>
      </c>
    </row>
    <row r="23" spans="1:15" x14ac:dyDescent="0.25">
      <c r="A23" s="13">
        <v>20</v>
      </c>
      <c r="B23" s="79" t="s">
        <v>17</v>
      </c>
      <c r="C23" s="57"/>
      <c r="D23" s="53"/>
      <c r="E23" s="60"/>
      <c r="F23" s="11"/>
      <c r="G23" s="11"/>
      <c r="H23" s="11"/>
      <c r="I23" s="11"/>
      <c r="J23" s="11">
        <v>0</v>
      </c>
      <c r="K23" s="11">
        <v>0</v>
      </c>
      <c r="L23" s="11">
        <v>0</v>
      </c>
      <c r="M23" s="11"/>
      <c r="N23" s="12"/>
      <c r="O23" s="105">
        <f>SUM(Tabla3[[#This Row],[Gener]:[Desembre]])</f>
        <v>0</v>
      </c>
    </row>
    <row r="24" spans="1:15" x14ac:dyDescent="0.25">
      <c r="A24" s="13">
        <v>21</v>
      </c>
      <c r="B24" s="79" t="s">
        <v>18</v>
      </c>
      <c r="C24" s="57">
        <v>810.11</v>
      </c>
      <c r="D24" s="53">
        <v>846.1</v>
      </c>
      <c r="E24" s="60">
        <v>1427.38</v>
      </c>
      <c r="F24" s="11">
        <v>1229.5899999999999</v>
      </c>
      <c r="G24" s="11">
        <v>1252.04</v>
      </c>
      <c r="H24" s="11">
        <v>1862.03</v>
      </c>
      <c r="I24" s="11">
        <v>1918.91</v>
      </c>
      <c r="J24" s="11">
        <v>2188.5</v>
      </c>
      <c r="K24" s="11">
        <v>1721.08</v>
      </c>
      <c r="L24" s="11">
        <v>1296.27</v>
      </c>
      <c r="M24" s="11">
        <v>1111.6500000000001</v>
      </c>
      <c r="N24" s="12">
        <v>1260</v>
      </c>
      <c r="O24" s="105">
        <f>SUM(Tabla3[[#This Row],[Gener]:[Desembre]])</f>
        <v>16923.66</v>
      </c>
    </row>
    <row r="25" spans="1:15" x14ac:dyDescent="0.25">
      <c r="A25" s="13">
        <v>22</v>
      </c>
      <c r="B25" s="79" t="s">
        <v>19</v>
      </c>
      <c r="C25" s="57">
        <f>6115.78+19360</f>
        <v>25475.78</v>
      </c>
      <c r="D25" s="53">
        <f>5977.09+17684.32</f>
        <v>23661.41</v>
      </c>
      <c r="E25" s="60">
        <v>27014.05</v>
      </c>
      <c r="F25" s="11">
        <f>6153.58+19780</f>
        <v>25933.58</v>
      </c>
      <c r="G25" s="11">
        <f>6905.56+20880</f>
        <v>27785.56</v>
      </c>
      <c r="H25" s="11">
        <v>26563.45</v>
      </c>
      <c r="I25" s="11">
        <v>26302.54</v>
      </c>
      <c r="J25" s="11">
        <v>22951.46</v>
      </c>
      <c r="K25" s="11">
        <v>25816.1</v>
      </c>
      <c r="L25" s="11">
        <v>26683.57</v>
      </c>
      <c r="M25" s="11">
        <v>27699.8</v>
      </c>
      <c r="N25" s="12">
        <v>27021</v>
      </c>
      <c r="O25" s="105">
        <f>SUM(Tabla3[[#This Row],[Gener]:[Desembre]])</f>
        <v>312908.30000000005</v>
      </c>
    </row>
    <row r="26" spans="1:15" x14ac:dyDescent="0.25">
      <c r="A26" s="13">
        <v>23</v>
      </c>
      <c r="B26" s="80" t="s">
        <v>43</v>
      </c>
      <c r="C26" s="57">
        <v>14380</v>
      </c>
      <c r="D26" s="53">
        <v>13537.11</v>
      </c>
      <c r="E26" s="60">
        <v>15540</v>
      </c>
      <c r="F26" s="11">
        <v>14740</v>
      </c>
      <c r="G26" s="11">
        <v>14040</v>
      </c>
      <c r="H26" s="11">
        <v>16780</v>
      </c>
      <c r="I26" s="11">
        <v>15040</v>
      </c>
      <c r="J26" s="11">
        <v>14900</v>
      </c>
      <c r="K26" s="11">
        <v>14760</v>
      </c>
      <c r="L26" s="11">
        <v>14840</v>
      </c>
      <c r="M26" s="11">
        <v>17240</v>
      </c>
      <c r="N26" s="12">
        <v>14680</v>
      </c>
      <c r="O26" s="105">
        <f>SUM(Tabla3[[#This Row],[Gener]:[Desembre]])</f>
        <v>180477.11</v>
      </c>
    </row>
    <row r="27" spans="1:15" x14ac:dyDescent="0.25">
      <c r="A27" s="13">
        <v>24</v>
      </c>
      <c r="B27" s="80" t="s">
        <v>44</v>
      </c>
      <c r="C27" s="57">
        <f>390.98+15920</f>
        <v>16310.98</v>
      </c>
      <c r="D27" s="53">
        <f>189.98+14080</f>
        <v>14269.98</v>
      </c>
      <c r="E27" s="60">
        <v>17789.89</v>
      </c>
      <c r="F27" s="11">
        <f>322.86+12440+2060</f>
        <v>14822.86</v>
      </c>
      <c r="G27" s="11">
        <f>569.6+13060+3380</f>
        <v>17009.599999999999</v>
      </c>
      <c r="H27" s="11">
        <v>18227.43</v>
      </c>
      <c r="I27" s="11">
        <v>18049.599999999999</v>
      </c>
      <c r="J27" s="11">
        <v>16506.509999999998</v>
      </c>
      <c r="K27" s="11">
        <v>15963.91</v>
      </c>
      <c r="L27" s="11">
        <v>17439.47</v>
      </c>
      <c r="M27" s="11">
        <v>19526.099999999999</v>
      </c>
      <c r="N27" s="12">
        <v>16214</v>
      </c>
      <c r="O27" s="105">
        <f>SUM(Tabla3[[#This Row],[Gener]:[Desembre]])</f>
        <v>202130.33000000002</v>
      </c>
    </row>
    <row r="28" spans="1:15" x14ac:dyDescent="0.25">
      <c r="A28" s="13">
        <v>25</v>
      </c>
      <c r="B28" s="79" t="s">
        <v>20</v>
      </c>
      <c r="C28" s="57">
        <v>29017.46</v>
      </c>
      <c r="D28" s="53">
        <v>28504.37</v>
      </c>
      <c r="E28" s="60">
        <v>34630.300000000003</v>
      </c>
      <c r="F28" s="11">
        <v>34830.769999999997</v>
      </c>
      <c r="G28" s="11">
        <v>30382.76</v>
      </c>
      <c r="H28" s="11">
        <v>36097.74</v>
      </c>
      <c r="I28" s="11">
        <v>33169.31</v>
      </c>
      <c r="J28" s="11">
        <v>33002.29</v>
      </c>
      <c r="K28" s="11">
        <v>35300.080000000002</v>
      </c>
      <c r="L28" s="11">
        <v>28424.400000000001</v>
      </c>
      <c r="M28" s="11">
        <v>33123.699999999997</v>
      </c>
      <c r="N28" s="12">
        <v>31656</v>
      </c>
      <c r="O28" s="105">
        <f>SUM(Tabla3[[#This Row],[Gener]:[Desembre]])</f>
        <v>388139.18000000005</v>
      </c>
    </row>
    <row r="29" spans="1:15" x14ac:dyDescent="0.25">
      <c r="A29" s="13">
        <v>26</v>
      </c>
      <c r="B29" s="80" t="s">
        <v>45</v>
      </c>
      <c r="C29" s="57">
        <v>8380</v>
      </c>
      <c r="D29" s="53">
        <v>7040</v>
      </c>
      <c r="E29" s="60">
        <v>8400</v>
      </c>
      <c r="F29" s="11">
        <v>8920</v>
      </c>
      <c r="G29" s="11">
        <v>8900</v>
      </c>
      <c r="H29" s="11">
        <v>8080</v>
      </c>
      <c r="I29" s="11">
        <v>9040</v>
      </c>
      <c r="J29" s="11">
        <v>8380</v>
      </c>
      <c r="K29" s="11">
        <v>7880</v>
      </c>
      <c r="L29" s="11">
        <v>8960</v>
      </c>
      <c r="M29" s="11">
        <v>8560</v>
      </c>
      <c r="N29" s="12">
        <v>8140</v>
      </c>
      <c r="O29" s="105">
        <f>SUM(Tabla3[[#This Row],[Gener]:[Desembre]])</f>
        <v>100680</v>
      </c>
    </row>
    <row r="30" spans="1:15" x14ac:dyDescent="0.25">
      <c r="A30" s="13">
        <v>27</v>
      </c>
      <c r="B30" s="80" t="s">
        <v>46</v>
      </c>
      <c r="C30" s="57"/>
      <c r="D30" s="53"/>
      <c r="E30" s="60"/>
      <c r="F30" s="11"/>
      <c r="G30" s="11"/>
      <c r="H30" s="11"/>
      <c r="I30" s="11"/>
      <c r="J30" s="11">
        <v>0</v>
      </c>
      <c r="K30" s="11">
        <v>0</v>
      </c>
      <c r="L30" s="11">
        <v>0</v>
      </c>
      <c r="M30" s="11"/>
      <c r="N30" s="12"/>
      <c r="O30" s="105">
        <f>SUM(Tabla3[[#This Row],[Gener]:[Desembre]])</f>
        <v>0</v>
      </c>
    </row>
    <row r="31" spans="1:15" x14ac:dyDescent="0.25">
      <c r="A31" s="13">
        <v>28</v>
      </c>
      <c r="B31" s="80" t="s">
        <v>47</v>
      </c>
      <c r="C31" s="57">
        <v>13597.34</v>
      </c>
      <c r="D31" s="53">
        <v>12850.49</v>
      </c>
      <c r="E31" s="60">
        <v>15682.51</v>
      </c>
      <c r="F31" s="11">
        <v>14614.46</v>
      </c>
      <c r="G31" s="11">
        <v>15535.69</v>
      </c>
      <c r="H31" s="11">
        <v>14180.37</v>
      </c>
      <c r="I31" s="11">
        <v>15263.57</v>
      </c>
      <c r="J31" s="11">
        <v>15461.25</v>
      </c>
      <c r="K31" s="11">
        <v>14404.22</v>
      </c>
      <c r="L31" s="11">
        <v>12637.52</v>
      </c>
      <c r="M31" s="11">
        <v>14243.3</v>
      </c>
      <c r="N31" s="12">
        <v>14112</v>
      </c>
      <c r="O31" s="105">
        <f>SUM(Tabla3[[#This Row],[Gener]:[Desembre]])</f>
        <v>172582.71999999997</v>
      </c>
    </row>
    <row r="32" spans="1:15" x14ac:dyDescent="0.25">
      <c r="A32" s="13">
        <v>29</v>
      </c>
      <c r="B32" s="80" t="s">
        <v>48</v>
      </c>
      <c r="C32" s="57">
        <v>209.1</v>
      </c>
      <c r="D32" s="53">
        <v>211.52</v>
      </c>
      <c r="E32" s="60">
        <v>337.9</v>
      </c>
      <c r="F32" s="11">
        <v>281.79000000000002</v>
      </c>
      <c r="G32" s="11">
        <v>294.26</v>
      </c>
      <c r="H32" s="11">
        <v>366.6</v>
      </c>
      <c r="I32" s="11">
        <v>293.39</v>
      </c>
      <c r="J32" s="11">
        <v>387.03</v>
      </c>
      <c r="K32" s="11">
        <v>308.89</v>
      </c>
      <c r="L32" s="11">
        <v>296.45999999999998</v>
      </c>
      <c r="M32" s="11">
        <v>270.10000000000002</v>
      </c>
      <c r="N32" s="12">
        <v>360</v>
      </c>
      <c r="O32" s="105">
        <f>SUM(Tabla3[[#This Row],[Gener]:[Desembre]])</f>
        <v>3617.04</v>
      </c>
    </row>
    <row r="33" spans="1:17" x14ac:dyDescent="0.25">
      <c r="A33" s="13">
        <v>30</v>
      </c>
      <c r="B33" s="80" t="s">
        <v>50</v>
      </c>
      <c r="C33" s="57">
        <v>24700</v>
      </c>
      <c r="D33" s="53">
        <v>21800</v>
      </c>
      <c r="E33" s="60">
        <v>25300</v>
      </c>
      <c r="F33" s="11">
        <v>26440</v>
      </c>
      <c r="G33" s="11">
        <v>26400</v>
      </c>
      <c r="H33" s="11">
        <v>24500</v>
      </c>
      <c r="I33" s="11">
        <v>27340</v>
      </c>
      <c r="J33" s="11">
        <v>25620</v>
      </c>
      <c r="K33" s="11">
        <v>24000</v>
      </c>
      <c r="L33" s="11">
        <v>26300</v>
      </c>
      <c r="M33" s="11">
        <v>25520</v>
      </c>
      <c r="N33" s="12">
        <v>25200</v>
      </c>
      <c r="O33" s="105">
        <f>SUM(Tabla3[[#This Row],[Gener]:[Desembre]])</f>
        <v>303120</v>
      </c>
    </row>
    <row r="34" spans="1:17" x14ac:dyDescent="0.25">
      <c r="A34" s="13">
        <v>31</v>
      </c>
      <c r="B34" s="80" t="s">
        <v>51</v>
      </c>
      <c r="C34" s="57">
        <v>3747.86</v>
      </c>
      <c r="D34" s="53">
        <v>2734.44</v>
      </c>
      <c r="E34" s="60">
        <v>2801.05</v>
      </c>
      <c r="F34" s="11">
        <v>2785.54</v>
      </c>
      <c r="G34" s="11">
        <v>3390.98</v>
      </c>
      <c r="H34" s="11">
        <v>3181.15</v>
      </c>
      <c r="I34" s="11">
        <v>3107.29</v>
      </c>
      <c r="J34" s="11">
        <v>4871.25</v>
      </c>
      <c r="K34" s="11">
        <v>2918.12</v>
      </c>
      <c r="L34" s="11">
        <v>3009.88</v>
      </c>
      <c r="M34" s="11">
        <v>3310.3</v>
      </c>
      <c r="N34" s="12">
        <v>2132</v>
      </c>
      <c r="O34" s="105">
        <f>SUM(Tabla3[[#This Row],[Gener]:[Desembre]])</f>
        <v>37989.86</v>
      </c>
    </row>
    <row r="35" spans="1:17" x14ac:dyDescent="0.25">
      <c r="A35" s="13">
        <v>32</v>
      </c>
      <c r="B35" s="80" t="s">
        <v>52</v>
      </c>
      <c r="C35" s="57">
        <v>18957.009999999998</v>
      </c>
      <c r="D35" s="53">
        <v>15989.37</v>
      </c>
      <c r="E35" s="60">
        <v>19156.88</v>
      </c>
      <c r="F35" s="11">
        <v>19394.95</v>
      </c>
      <c r="G35" s="11">
        <v>18313.22</v>
      </c>
      <c r="H35" s="11">
        <v>20566.310000000001</v>
      </c>
      <c r="I35" s="11">
        <v>20409.73</v>
      </c>
      <c r="J35" s="11">
        <v>21255.55</v>
      </c>
      <c r="K35" s="11">
        <v>17681.11</v>
      </c>
      <c r="L35" s="11">
        <v>17790.48</v>
      </c>
      <c r="M35" s="11">
        <v>19415.150000000001</v>
      </c>
      <c r="N35" s="12">
        <v>20017</v>
      </c>
      <c r="O35" s="105">
        <f>SUM(Tabla3[[#This Row],[Gener]:[Desembre]])</f>
        <v>228946.76</v>
      </c>
      <c r="Q35" s="21"/>
    </row>
    <row r="36" spans="1:17" x14ac:dyDescent="0.25">
      <c r="A36" s="13">
        <v>33</v>
      </c>
      <c r="B36" s="79" t="s">
        <v>21</v>
      </c>
      <c r="C36" s="57"/>
      <c r="D36" s="53"/>
      <c r="E36" s="60">
        <v>407.55</v>
      </c>
      <c r="F36" s="11"/>
      <c r="G36" s="11"/>
      <c r="H36" s="11"/>
      <c r="I36" s="11"/>
      <c r="J36" s="11">
        <v>0</v>
      </c>
      <c r="K36" s="11">
        <v>0</v>
      </c>
      <c r="L36" s="11">
        <v>0</v>
      </c>
      <c r="M36" s="11"/>
      <c r="N36" s="12"/>
      <c r="O36" s="105">
        <f>SUM(Tabla3[[#This Row],[Gener]:[Desembre]])</f>
        <v>407.55</v>
      </c>
    </row>
    <row r="37" spans="1:17" x14ac:dyDescent="0.25">
      <c r="A37" s="13">
        <v>34</v>
      </c>
      <c r="B37" s="79" t="s">
        <v>22</v>
      </c>
      <c r="C37" s="57">
        <v>6001.93</v>
      </c>
      <c r="D37" s="53">
        <v>5427.8</v>
      </c>
      <c r="E37" s="60">
        <v>6792.57</v>
      </c>
      <c r="F37" s="11">
        <v>5903.46</v>
      </c>
      <c r="G37" s="11">
        <v>5249.54</v>
      </c>
      <c r="H37" s="11">
        <v>6662.83</v>
      </c>
      <c r="I37" s="11">
        <v>6904.49</v>
      </c>
      <c r="J37" s="11">
        <v>6517.42</v>
      </c>
      <c r="K37" s="11">
        <v>5480.25</v>
      </c>
      <c r="L37" s="11">
        <v>5729.32</v>
      </c>
      <c r="M37" s="11">
        <v>5743.88</v>
      </c>
      <c r="N37" s="12">
        <v>5271</v>
      </c>
      <c r="O37" s="105">
        <f>SUM(Tabla3[[#This Row],[Gener]:[Desembre]])</f>
        <v>71684.489999999991</v>
      </c>
    </row>
    <row r="38" spans="1:17" x14ac:dyDescent="0.25">
      <c r="A38" s="13">
        <v>35</v>
      </c>
      <c r="B38" s="79" t="s">
        <v>23</v>
      </c>
      <c r="C38" s="57">
        <v>6330.56</v>
      </c>
      <c r="D38" s="53">
        <v>5580.59</v>
      </c>
      <c r="E38" s="60">
        <v>7857.95</v>
      </c>
      <c r="F38" s="11">
        <v>6284.21</v>
      </c>
      <c r="G38" s="11">
        <v>7776.63</v>
      </c>
      <c r="H38" s="11">
        <v>7776.34</v>
      </c>
      <c r="I38" s="11">
        <v>7770.2</v>
      </c>
      <c r="J38" s="11">
        <v>7329.94</v>
      </c>
      <c r="K38" s="11">
        <v>7686.84</v>
      </c>
      <c r="L38" s="11">
        <v>5847.63</v>
      </c>
      <c r="M38" s="11">
        <v>6294.19</v>
      </c>
      <c r="N38" s="12">
        <v>6756</v>
      </c>
      <c r="O38" s="105">
        <f>SUM(Tabla3[[#This Row],[Gener]:[Desembre]])</f>
        <v>83291.08</v>
      </c>
    </row>
    <row r="39" spans="1:17" x14ac:dyDescent="0.25">
      <c r="A39" s="13">
        <v>36</v>
      </c>
      <c r="B39" s="79" t="s">
        <v>24</v>
      </c>
      <c r="C39" s="57">
        <v>1443.34</v>
      </c>
      <c r="D39" s="53">
        <v>1533.31</v>
      </c>
      <c r="E39" s="60">
        <v>1702.86</v>
      </c>
      <c r="F39" s="11">
        <f>80+1308.38</f>
        <v>1388.38</v>
      </c>
      <c r="G39" s="11">
        <v>1157.44</v>
      </c>
      <c r="H39" s="11">
        <v>1585.98</v>
      </c>
      <c r="I39" s="11">
        <v>1275.31</v>
      </c>
      <c r="J39" s="11">
        <v>1358.39</v>
      </c>
      <c r="K39" s="11">
        <v>1607.88</v>
      </c>
      <c r="L39" s="11">
        <v>1402</v>
      </c>
      <c r="M39" s="11">
        <v>1522.87</v>
      </c>
      <c r="N39" s="12">
        <v>1431</v>
      </c>
      <c r="O39" s="105">
        <f>SUM(Tabla3[[#This Row],[Gener]:[Desembre]])</f>
        <v>17408.759999999998</v>
      </c>
    </row>
    <row r="40" spans="1:17" x14ac:dyDescent="0.25">
      <c r="A40" s="82">
        <v>37</v>
      </c>
      <c r="B40" s="79" t="s">
        <v>25</v>
      </c>
      <c r="C40" s="57">
        <v>9338.5300000000007</v>
      </c>
      <c r="D40" s="53">
        <v>9689.4599999999991</v>
      </c>
      <c r="E40" s="60">
        <v>10303.06</v>
      </c>
      <c r="F40" s="11">
        <v>12066.08</v>
      </c>
      <c r="G40" s="11">
        <v>10741.11</v>
      </c>
      <c r="H40" s="11">
        <v>11589.45</v>
      </c>
      <c r="I40" s="11">
        <v>12036.03</v>
      </c>
      <c r="J40" s="11">
        <v>10201.09</v>
      </c>
      <c r="K40" s="11">
        <v>10581.46</v>
      </c>
      <c r="L40" s="11">
        <v>9125.89</v>
      </c>
      <c r="M40" s="11">
        <v>9871.93</v>
      </c>
      <c r="N40" s="12">
        <v>9782</v>
      </c>
      <c r="O40" s="105">
        <f>SUM(Tabla3[[#This Row],[Gener]:[Desembre]])</f>
        <v>125326.09</v>
      </c>
    </row>
    <row r="41" spans="1:17" x14ac:dyDescent="0.25">
      <c r="A41" s="13">
        <v>38</v>
      </c>
      <c r="B41" s="79" t="s">
        <v>5</v>
      </c>
      <c r="C41" s="57">
        <v>2280.35</v>
      </c>
      <c r="D41" s="53">
        <v>2616.21</v>
      </c>
      <c r="E41" s="60">
        <v>3588.98</v>
      </c>
      <c r="F41" s="11">
        <v>2534.17</v>
      </c>
      <c r="G41" s="11">
        <v>2721.18</v>
      </c>
      <c r="H41" s="11">
        <v>3070.88</v>
      </c>
      <c r="I41" s="11">
        <v>2769.14</v>
      </c>
      <c r="J41" s="11">
        <v>2848.45</v>
      </c>
      <c r="K41" s="11">
        <v>3766.59</v>
      </c>
      <c r="L41" s="11">
        <v>2214.52</v>
      </c>
      <c r="M41" s="11">
        <v>2200.25</v>
      </c>
      <c r="N41" s="12">
        <v>2705</v>
      </c>
      <c r="O41" s="105">
        <f>SUM(Tabla3[[#This Row],[Gener]:[Desembre]])</f>
        <v>33315.72</v>
      </c>
    </row>
    <row r="42" spans="1:17" x14ac:dyDescent="0.25">
      <c r="A42" s="13">
        <v>39</v>
      </c>
      <c r="B42" s="79" t="s">
        <v>6</v>
      </c>
      <c r="C42" s="57">
        <f>979.5+8880</f>
        <v>9859.5</v>
      </c>
      <c r="D42" s="53">
        <f>525.17+7120</f>
        <v>7645.17</v>
      </c>
      <c r="E42" s="60">
        <v>9387.24</v>
      </c>
      <c r="F42" s="11">
        <f>894.41+8100</f>
        <v>8994.41</v>
      </c>
      <c r="G42" s="11">
        <f>1106.68+8200</f>
        <v>9306.68</v>
      </c>
      <c r="H42" s="11">
        <v>8360.7800000000007</v>
      </c>
      <c r="I42" s="11">
        <v>9524.43</v>
      </c>
      <c r="J42" s="11">
        <v>10342.25</v>
      </c>
      <c r="K42" s="11">
        <v>8583.09</v>
      </c>
      <c r="L42" s="11">
        <v>8824.25</v>
      </c>
      <c r="M42" s="11">
        <v>8745.58</v>
      </c>
      <c r="N42" s="12">
        <v>7427</v>
      </c>
      <c r="O42" s="105">
        <f>SUM(Tabla3[[#This Row],[Gener]:[Desembre]])</f>
        <v>107000.37999999999</v>
      </c>
    </row>
    <row r="43" spans="1:17" x14ac:dyDescent="0.25">
      <c r="A43" s="13">
        <v>40</v>
      </c>
      <c r="B43" s="79" t="s">
        <v>8</v>
      </c>
      <c r="C43" s="57">
        <v>0</v>
      </c>
      <c r="D43" s="53">
        <v>510.58</v>
      </c>
      <c r="E43" s="60">
        <v>637.66</v>
      </c>
      <c r="F43" s="11">
        <v>196.55</v>
      </c>
      <c r="G43" s="11">
        <v>401.83</v>
      </c>
      <c r="H43" s="11">
        <v>537.41999999999996</v>
      </c>
      <c r="I43" s="11">
        <v>432.86</v>
      </c>
      <c r="J43" s="11">
        <v>727.84</v>
      </c>
      <c r="K43" s="11">
        <v>645.05999999999995</v>
      </c>
      <c r="L43" s="11">
        <v>546.92999999999995</v>
      </c>
      <c r="M43" s="11">
        <v>292.51</v>
      </c>
      <c r="N43" s="12">
        <v>514</v>
      </c>
      <c r="O43" s="105">
        <f>SUM(Tabla3[[#This Row],[Gener]:[Desembre]])</f>
        <v>5443.2400000000007</v>
      </c>
    </row>
    <row r="44" spans="1:17" s="4" customFormat="1" ht="15.75" thickBot="1" x14ac:dyDescent="0.3">
      <c r="A44" s="69">
        <v>41</v>
      </c>
      <c r="B44" s="83" t="s">
        <v>49</v>
      </c>
      <c r="C44" s="58"/>
      <c r="D44" s="55"/>
      <c r="E44" s="61"/>
      <c r="F44" s="14"/>
      <c r="G44" s="14"/>
      <c r="H44" s="14"/>
      <c r="I44" s="14"/>
      <c r="J44" s="14">
        <v>0</v>
      </c>
      <c r="K44" s="149">
        <v>0</v>
      </c>
      <c r="L44" s="14">
        <v>0</v>
      </c>
      <c r="M44" s="14"/>
      <c r="N44" s="15"/>
      <c r="O44" s="106">
        <f>SUM(Tabla3[[#This Row],[Gener]:[Desembre]])</f>
        <v>0</v>
      </c>
    </row>
    <row r="45" spans="1:17" ht="15.75" thickBot="1" x14ac:dyDescent="0.3">
      <c r="A45" s="76"/>
      <c r="B45" s="50" t="s">
        <v>61</v>
      </c>
      <c r="C45" s="5">
        <f t="shared" ref="C45:L45" si="0">SUBTOTAL(109,C5:C44)</f>
        <v>609328.2300000001</v>
      </c>
      <c r="D45" s="6">
        <f t="shared" si="0"/>
        <v>571196.96</v>
      </c>
      <c r="E45" s="6">
        <f t="shared" si="0"/>
        <v>651751.22</v>
      </c>
      <c r="F45" s="6">
        <f t="shared" si="0"/>
        <v>635148.75999999989</v>
      </c>
      <c r="G45" s="6">
        <f t="shared" si="0"/>
        <v>641992.59999999986</v>
      </c>
      <c r="H45" s="6">
        <f t="shared" si="0"/>
        <v>650793.76</v>
      </c>
      <c r="I45" s="6">
        <f t="shared" si="0"/>
        <v>659463.04</v>
      </c>
      <c r="J45" s="6">
        <f t="shared" si="0"/>
        <v>606557.29999999993</v>
      </c>
      <c r="K45" s="6">
        <f t="shared" si="0"/>
        <v>636501.04999999981</v>
      </c>
      <c r="L45" s="6">
        <f t="shared" si="0"/>
        <v>622553.81000000006</v>
      </c>
      <c r="M45" s="6">
        <f>SUBTOTAL(109,M5:M44)</f>
        <v>645165.98</v>
      </c>
      <c r="N45" s="6">
        <f>SUBTOTAL(109,N5:N44)</f>
        <v>630556</v>
      </c>
      <c r="O45" s="27">
        <f>SUBTOTAL(109,O5:O44)</f>
        <v>7561008.71</v>
      </c>
    </row>
    <row r="46" spans="1:17" ht="15.75" thickBot="1" x14ac:dyDescent="0.3">
      <c r="A46" s="76"/>
      <c r="B46" s="28" t="s">
        <v>60</v>
      </c>
      <c r="C46" s="29">
        <v>597449.85999999987</v>
      </c>
      <c r="D46" s="30">
        <v>526267.39999999991</v>
      </c>
      <c r="E46" s="30">
        <v>599738.1399999999</v>
      </c>
      <c r="F46" s="30">
        <v>634469.56000000006</v>
      </c>
      <c r="G46" s="30">
        <v>632673.99999999988</v>
      </c>
      <c r="H46" s="30">
        <v>666724.91999999981</v>
      </c>
      <c r="I46" s="30">
        <v>647125.47000000009</v>
      </c>
      <c r="J46" s="30">
        <v>582707.69000000006</v>
      </c>
      <c r="K46" s="30">
        <v>607231.66999999993</v>
      </c>
      <c r="L46" s="30">
        <v>629693.60999999987</v>
      </c>
      <c r="M46" s="30">
        <v>620253.68000000017</v>
      </c>
      <c r="N46" s="31">
        <v>658440.01</v>
      </c>
      <c r="O46" s="32">
        <f>SUM(Tabla3[[#This Row],[Gener]:[Desembre]])</f>
        <v>7402776.0099999998</v>
      </c>
    </row>
    <row r="47" spans="1:17" x14ac:dyDescent="0.25">
      <c r="A47" s="76"/>
      <c r="B47" s="62" t="s">
        <v>57</v>
      </c>
      <c r="C47" s="125">
        <f>(C45/C46)-1</f>
        <v>1.9881785561051579E-2</v>
      </c>
      <c r="D47" s="126">
        <f t="shared" ref="D47:O47" si="1">(D45/D46)-1</f>
        <v>8.5374013286781736E-2</v>
      </c>
      <c r="E47" s="126">
        <f t="shared" si="1"/>
        <v>8.6726316922248969E-2</v>
      </c>
      <c r="F47" s="126">
        <f t="shared" si="1"/>
        <v>1.0705005296074432E-3</v>
      </c>
      <c r="G47" s="126">
        <f t="shared" si="1"/>
        <v>1.4728912520508119E-2</v>
      </c>
      <c r="H47" s="126">
        <f t="shared" si="1"/>
        <v>-2.3894652085300505E-2</v>
      </c>
      <c r="I47" s="126">
        <f t="shared" si="1"/>
        <v>1.9065189939131866E-2</v>
      </c>
      <c r="J47" s="126">
        <f t="shared" si="1"/>
        <v>4.0928943292304787E-2</v>
      </c>
      <c r="K47" s="126">
        <f t="shared" si="1"/>
        <v>4.8201339696264389E-2</v>
      </c>
      <c r="L47" s="126">
        <f t="shared" si="1"/>
        <v>-1.1338530178192197E-2</v>
      </c>
      <c r="M47" s="126">
        <f t="shared" si="1"/>
        <v>4.016469519374688E-2</v>
      </c>
      <c r="N47" s="126">
        <f t="shared" si="1"/>
        <v>-4.2348596039903486E-2</v>
      </c>
      <c r="O47" s="126">
        <f t="shared" si="1"/>
        <v>2.137477883786465E-2</v>
      </c>
    </row>
    <row r="48" spans="1:17" x14ac:dyDescent="0.25">
      <c r="A48" s="127"/>
      <c r="B48" s="18" t="s">
        <v>67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x14ac:dyDescent="0.25">
      <c r="A49" s="127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C3D2"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showZeros="0" zoomScale="90" zoomScaleNormal="90" workbookViewId="0">
      <selection activeCell="F20" sqref="F20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20" bestFit="1" customWidth="1"/>
    <col min="3" max="5" width="11.42578125" style="2"/>
    <col min="6" max="6" width="11.85546875" style="2" bestFit="1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69</v>
      </c>
    </row>
    <row r="3" spans="1:15" ht="15.75" thickBot="1" x14ac:dyDescent="0.3">
      <c r="C3" s="4" t="s">
        <v>54</v>
      </c>
    </row>
    <row r="4" spans="1:15" ht="15.75" thickBot="1" x14ac:dyDescent="0.3">
      <c r="A4" s="88" t="s">
        <v>58</v>
      </c>
      <c r="B4" s="23" t="s">
        <v>56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7" t="s">
        <v>38</v>
      </c>
    </row>
    <row r="5" spans="1:15" x14ac:dyDescent="0.25">
      <c r="A5" s="89">
        <v>1</v>
      </c>
      <c r="B5" s="85" t="s">
        <v>39</v>
      </c>
      <c r="C5" s="56">
        <v>18744.54</v>
      </c>
      <c r="D5" s="51">
        <v>12371.62</v>
      </c>
      <c r="E5" s="51">
        <v>22253.51</v>
      </c>
      <c r="F5" s="51">
        <v>20412.080000000002</v>
      </c>
      <c r="G5" s="51">
        <v>10955.19</v>
      </c>
      <c r="H5" s="51">
        <v>13738.27</v>
      </c>
      <c r="I5" s="51">
        <v>18352.88</v>
      </c>
      <c r="J5" s="51">
        <v>24526.73</v>
      </c>
      <c r="K5" s="51">
        <v>18575.14</v>
      </c>
      <c r="L5" s="51">
        <v>15008.47</v>
      </c>
      <c r="M5" s="51">
        <v>18830.7</v>
      </c>
      <c r="N5" s="52">
        <v>11634</v>
      </c>
      <c r="O5" s="104">
        <f>SUM(Tabla5[[#This Row],[Gener]:[Desembre]])</f>
        <v>205403.13000000003</v>
      </c>
    </row>
    <row r="6" spans="1:15" x14ac:dyDescent="0.25">
      <c r="A6" s="90">
        <v>2</v>
      </c>
      <c r="B6" s="86" t="s">
        <v>0</v>
      </c>
      <c r="C6" s="57">
        <v>10563.53</v>
      </c>
      <c r="D6" s="53">
        <v>11359.03</v>
      </c>
      <c r="E6" s="53">
        <v>22558.89</v>
      </c>
      <c r="F6" s="53">
        <v>19791.12</v>
      </c>
      <c r="G6" s="53">
        <v>4160.6099999999997</v>
      </c>
      <c r="H6" s="53">
        <v>17300</v>
      </c>
      <c r="I6" s="53">
        <v>32682.79</v>
      </c>
      <c r="J6" s="53">
        <v>20607.53</v>
      </c>
      <c r="K6" s="53">
        <v>4523.6400000000003</v>
      </c>
      <c r="L6" s="53">
        <v>21490.58</v>
      </c>
      <c r="M6" s="53">
        <v>21784.76</v>
      </c>
      <c r="N6" s="54">
        <v>17932</v>
      </c>
      <c r="O6" s="105">
        <f>SUM(Tabla5[[#This Row],[Gener]:[Desembre]])</f>
        <v>204754.48000000004</v>
      </c>
    </row>
    <row r="7" spans="1:15" x14ac:dyDescent="0.25">
      <c r="A7" s="90">
        <v>3</v>
      </c>
      <c r="B7" s="86" t="s">
        <v>1</v>
      </c>
      <c r="C7" s="57">
        <v>30694.18</v>
      </c>
      <c r="D7" s="53">
        <v>35985.15</v>
      </c>
      <c r="E7" s="53">
        <v>48909.04</v>
      </c>
      <c r="F7" s="53">
        <v>26962.74</v>
      </c>
      <c r="G7" s="53">
        <v>19732.060000000001</v>
      </c>
      <c r="H7" s="53">
        <v>35726.550000000003</v>
      </c>
      <c r="I7" s="53">
        <v>35251.79</v>
      </c>
      <c r="J7" s="53">
        <v>33347.379999999997</v>
      </c>
      <c r="K7" s="53">
        <v>36570.46</v>
      </c>
      <c r="L7" s="53">
        <v>26969.82</v>
      </c>
      <c r="M7" s="53">
        <v>30611.31</v>
      </c>
      <c r="N7" s="54">
        <v>26629</v>
      </c>
      <c r="O7" s="105">
        <f>SUM(Tabla5[[#This Row],[Gener]:[Desembre]])</f>
        <v>387389.48</v>
      </c>
    </row>
    <row r="8" spans="1:15" x14ac:dyDescent="0.25">
      <c r="A8" s="90">
        <v>4</v>
      </c>
      <c r="B8" s="86" t="s">
        <v>2</v>
      </c>
      <c r="C8" s="57">
        <v>1960</v>
      </c>
      <c r="D8" s="53">
        <v>1443.33</v>
      </c>
      <c r="E8" s="53"/>
      <c r="F8" s="53">
        <v>2962.29</v>
      </c>
      <c r="G8" s="53">
        <v>1950.81</v>
      </c>
      <c r="H8" s="53">
        <v>2113.6799999999998</v>
      </c>
      <c r="I8" s="53">
        <v>2250</v>
      </c>
      <c r="J8" s="53">
        <v>2353.5500000000002</v>
      </c>
      <c r="K8" s="53">
        <v>2607.06</v>
      </c>
      <c r="L8" s="53">
        <v>1617.78</v>
      </c>
      <c r="M8" s="53">
        <v>751.3</v>
      </c>
      <c r="N8" s="54">
        <v>2167</v>
      </c>
      <c r="O8" s="105">
        <f>SUM(Tabla5[[#This Row],[Gener]:[Desembre]])</f>
        <v>22176.799999999999</v>
      </c>
    </row>
    <row r="9" spans="1:15" x14ac:dyDescent="0.25">
      <c r="A9" s="90">
        <v>5</v>
      </c>
      <c r="B9" s="86" t="s">
        <v>3</v>
      </c>
      <c r="C9" s="57">
        <v>24879.27</v>
      </c>
      <c r="D9" s="53">
        <v>11996.19</v>
      </c>
      <c r="E9" s="53">
        <v>9765.35</v>
      </c>
      <c r="F9" s="53">
        <v>25215.96</v>
      </c>
      <c r="G9" s="53">
        <v>10266.08</v>
      </c>
      <c r="H9" s="53">
        <v>12437.55</v>
      </c>
      <c r="I9" s="53">
        <v>17379.22</v>
      </c>
      <c r="J9" s="53">
        <v>16930.87</v>
      </c>
      <c r="K9" s="53">
        <v>13084.99</v>
      </c>
      <c r="L9" s="53">
        <v>16530.830000000002</v>
      </c>
      <c r="M9" s="53">
        <v>19765.71</v>
      </c>
      <c r="N9" s="54">
        <v>25849</v>
      </c>
      <c r="O9" s="105">
        <f>SUM(Tabla5[[#This Row],[Gener]:[Desembre]])</f>
        <v>204101.02</v>
      </c>
    </row>
    <row r="10" spans="1:15" x14ac:dyDescent="0.25">
      <c r="A10" s="90">
        <v>6</v>
      </c>
      <c r="B10" s="86" t="s">
        <v>4</v>
      </c>
      <c r="C10" s="57">
        <v>48332.56</v>
      </c>
      <c r="D10" s="53">
        <v>35175.82</v>
      </c>
      <c r="E10" s="53">
        <v>27568.29</v>
      </c>
      <c r="F10" s="53">
        <v>26755.01</v>
      </c>
      <c r="G10" s="53">
        <v>33023.32</v>
      </c>
      <c r="H10" s="53">
        <v>46748.13</v>
      </c>
      <c r="I10" s="53">
        <v>36487.199999999997</v>
      </c>
      <c r="J10" s="53">
        <v>27472.16</v>
      </c>
      <c r="K10" s="53">
        <v>38629.85</v>
      </c>
      <c r="L10" s="53">
        <v>22601.87</v>
      </c>
      <c r="M10" s="53">
        <v>30358.42</v>
      </c>
      <c r="N10" s="54">
        <v>27205</v>
      </c>
      <c r="O10" s="105">
        <f>SUM(Tabla5[[#This Row],[Gener]:[Desembre]])</f>
        <v>400357.62999999995</v>
      </c>
    </row>
    <row r="11" spans="1:15" x14ac:dyDescent="0.25">
      <c r="A11" s="90">
        <v>8</v>
      </c>
      <c r="B11" s="86" t="s">
        <v>7</v>
      </c>
      <c r="C11" s="57">
        <v>4900</v>
      </c>
      <c r="D11" s="53">
        <v>3247.5</v>
      </c>
      <c r="E11" s="53"/>
      <c r="F11" s="53">
        <v>5828.88</v>
      </c>
      <c r="G11" s="53">
        <v>3901.62</v>
      </c>
      <c r="H11" s="53">
        <v>4755.79</v>
      </c>
      <c r="I11" s="53">
        <v>4000</v>
      </c>
      <c r="J11" s="53">
        <v>5098.0600000000004</v>
      </c>
      <c r="K11" s="53">
        <v>6262.5</v>
      </c>
      <c r="L11" s="53">
        <v>3640</v>
      </c>
      <c r="M11" s="53">
        <v>1408.7</v>
      </c>
      <c r="N11" s="54">
        <v>4605</v>
      </c>
      <c r="O11" s="105">
        <f>SUM(Tabla5[[#This Row],[Gener]:[Desembre]])</f>
        <v>47648.05</v>
      </c>
    </row>
    <row r="12" spans="1:15" x14ac:dyDescent="0.25">
      <c r="A12" s="90">
        <v>9</v>
      </c>
      <c r="B12" s="87" t="s">
        <v>40</v>
      </c>
      <c r="C12" s="57"/>
      <c r="D12" s="53"/>
      <c r="E12" s="53"/>
      <c r="F12" s="53"/>
      <c r="G12" s="53"/>
      <c r="H12" s="53"/>
      <c r="I12" s="53"/>
      <c r="J12" s="53"/>
      <c r="K12" s="53">
        <v>0</v>
      </c>
      <c r="L12" s="53">
        <v>0</v>
      </c>
      <c r="M12" s="53"/>
      <c r="N12" s="54"/>
      <c r="O12" s="105">
        <f>SUM(Tabla5[[#This Row],[Gener]:[Desembre]])</f>
        <v>0</v>
      </c>
    </row>
    <row r="13" spans="1:15" x14ac:dyDescent="0.25">
      <c r="A13" s="90">
        <v>10</v>
      </c>
      <c r="B13" s="87" t="s">
        <v>41</v>
      </c>
      <c r="C13" s="57">
        <v>30521.55</v>
      </c>
      <c r="D13" s="53">
        <v>37912.449999999997</v>
      </c>
      <c r="E13" s="53">
        <v>18467.849999999999</v>
      </c>
      <c r="F13" s="53">
        <v>33857.839999999997</v>
      </c>
      <c r="G13" s="53">
        <v>20133.95</v>
      </c>
      <c r="H13" s="53">
        <v>19706.669999999998</v>
      </c>
      <c r="I13" s="53">
        <v>37140.54</v>
      </c>
      <c r="J13" s="53">
        <v>31860</v>
      </c>
      <c r="K13" s="53">
        <v>24372.91</v>
      </c>
      <c r="L13" s="53">
        <v>27940.28</v>
      </c>
      <c r="M13" s="53">
        <v>19251.77</v>
      </c>
      <c r="N13" s="54">
        <v>27017</v>
      </c>
      <c r="O13" s="105">
        <f>SUM(Tabla5[[#This Row],[Gener]:[Desembre]])</f>
        <v>328182.81000000006</v>
      </c>
    </row>
    <row r="14" spans="1:15" x14ac:dyDescent="0.25">
      <c r="A14" s="90">
        <v>11</v>
      </c>
      <c r="B14" s="86" t="s">
        <v>9</v>
      </c>
      <c r="C14" s="57">
        <v>106640</v>
      </c>
      <c r="D14" s="53">
        <v>74092.95</v>
      </c>
      <c r="E14" s="53">
        <v>52089.84</v>
      </c>
      <c r="F14" s="53">
        <v>125718.34</v>
      </c>
      <c r="G14" s="53">
        <v>86812.59</v>
      </c>
      <c r="H14" s="53">
        <v>88868.43</v>
      </c>
      <c r="I14" s="53">
        <v>76216.929999999993</v>
      </c>
      <c r="J14" s="53">
        <v>83499.839999999997</v>
      </c>
      <c r="K14" s="53">
        <v>102936.72</v>
      </c>
      <c r="L14" s="53">
        <v>79650.429999999993</v>
      </c>
      <c r="M14" s="53">
        <v>100220.13</v>
      </c>
      <c r="N14" s="54">
        <v>105000</v>
      </c>
      <c r="O14" s="105">
        <f>SUM(Tabla5[[#This Row],[Gener]:[Desembre]])</f>
        <v>1081746.1999999997</v>
      </c>
    </row>
    <row r="15" spans="1:15" x14ac:dyDescent="0.25">
      <c r="A15" s="90">
        <v>12</v>
      </c>
      <c r="B15" s="86" t="s">
        <v>10</v>
      </c>
      <c r="C15" s="57">
        <v>4771.18</v>
      </c>
      <c r="D15" s="53">
        <v>2483.81</v>
      </c>
      <c r="E15" s="53">
        <v>9825.5</v>
      </c>
      <c r="F15" s="53">
        <v>3364.55</v>
      </c>
      <c r="G15" s="53">
        <v>8261.7900000000009</v>
      </c>
      <c r="H15" s="53">
        <v>4523.0200000000004</v>
      </c>
      <c r="I15" s="53">
        <v>7925.71</v>
      </c>
      <c r="J15" s="53">
        <v>3969.47</v>
      </c>
      <c r="K15" s="53">
        <v>2632.63</v>
      </c>
      <c r="L15" s="53">
        <v>4117.53</v>
      </c>
      <c r="M15" s="53">
        <v>4122.41</v>
      </c>
      <c r="N15" s="54">
        <v>8416</v>
      </c>
      <c r="O15" s="105">
        <f>SUM(Tabla5[[#This Row],[Gener]:[Desembre]])</f>
        <v>64413.599999999991</v>
      </c>
    </row>
    <row r="16" spans="1:15" x14ac:dyDescent="0.25">
      <c r="A16" s="90">
        <v>13</v>
      </c>
      <c r="B16" s="87" t="s">
        <v>42</v>
      </c>
      <c r="C16" s="57">
        <v>16040</v>
      </c>
      <c r="D16" s="53">
        <v>8495.6</v>
      </c>
      <c r="E16" s="53">
        <v>12460</v>
      </c>
      <c r="F16" s="53">
        <v>13716.23</v>
      </c>
      <c r="G16" s="53">
        <v>5740</v>
      </c>
      <c r="H16" s="53">
        <v>6302</v>
      </c>
      <c r="I16" s="53">
        <v>13125.48</v>
      </c>
      <c r="J16" s="53">
        <v>13399.04</v>
      </c>
      <c r="K16" s="53">
        <v>7020</v>
      </c>
      <c r="L16" s="53">
        <v>10045.11</v>
      </c>
      <c r="M16" s="53">
        <v>9282</v>
      </c>
      <c r="N16" s="54">
        <v>8799</v>
      </c>
      <c r="O16" s="105">
        <f>SUM(Tabla5[[#This Row],[Gener]:[Desembre]])</f>
        <v>124424.46</v>
      </c>
    </row>
    <row r="17" spans="1:15" x14ac:dyDescent="0.25">
      <c r="A17" s="90">
        <v>14</v>
      </c>
      <c r="B17" s="86" t="s">
        <v>11</v>
      </c>
      <c r="C17" s="57"/>
      <c r="D17" s="53"/>
      <c r="E17" s="53"/>
      <c r="F17" s="53"/>
      <c r="G17" s="53"/>
      <c r="H17" s="53"/>
      <c r="I17" s="53"/>
      <c r="J17" s="53"/>
      <c r="K17" s="53">
        <v>0</v>
      </c>
      <c r="L17" s="53">
        <v>0</v>
      </c>
      <c r="M17" s="53"/>
      <c r="N17" s="54"/>
      <c r="O17" s="105">
        <f>SUM(Tabla5[[#This Row],[Gener]:[Desembre]])</f>
        <v>0</v>
      </c>
    </row>
    <row r="18" spans="1:15" x14ac:dyDescent="0.25">
      <c r="A18" s="90">
        <v>15</v>
      </c>
      <c r="B18" s="86" t="s">
        <v>12</v>
      </c>
      <c r="C18" s="57">
        <v>15993.85</v>
      </c>
      <c r="D18" s="53">
        <v>11175.44</v>
      </c>
      <c r="E18" s="53">
        <v>12086.08</v>
      </c>
      <c r="F18" s="53">
        <v>21885.439999999999</v>
      </c>
      <c r="G18" s="53">
        <v>18350.599999999999</v>
      </c>
      <c r="H18" s="53">
        <v>11124.38</v>
      </c>
      <c r="I18" s="53">
        <v>18970.45</v>
      </c>
      <c r="J18" s="53">
        <v>16108.61</v>
      </c>
      <c r="K18" s="53">
        <v>11223.64</v>
      </c>
      <c r="L18" s="53">
        <v>17511.86</v>
      </c>
      <c r="M18" s="53">
        <v>15693.8</v>
      </c>
      <c r="N18" s="54">
        <v>12409</v>
      </c>
      <c r="O18" s="105">
        <f>SUM(Tabla5[[#This Row],[Gener]:[Desembre]])</f>
        <v>182533.14999999997</v>
      </c>
    </row>
    <row r="19" spans="1:15" x14ac:dyDescent="0.25">
      <c r="A19" s="90">
        <v>16</v>
      </c>
      <c r="B19" s="86" t="s">
        <v>13</v>
      </c>
      <c r="C19" s="57"/>
      <c r="D19" s="53"/>
      <c r="E19" s="53"/>
      <c r="F19" s="53"/>
      <c r="G19" s="53"/>
      <c r="H19" s="53"/>
      <c r="I19" s="53"/>
      <c r="J19" s="53"/>
      <c r="K19" s="53">
        <v>0</v>
      </c>
      <c r="L19" s="53">
        <v>0</v>
      </c>
      <c r="M19" s="53"/>
      <c r="N19" s="54"/>
      <c r="O19" s="105">
        <f>SUM(Tabla5[[#This Row],[Gener]:[Desembre]])</f>
        <v>0</v>
      </c>
    </row>
    <row r="20" spans="1:15" x14ac:dyDescent="0.25">
      <c r="A20" s="90">
        <v>17</v>
      </c>
      <c r="B20" s="86" t="s">
        <v>14</v>
      </c>
      <c r="C20" s="57">
        <f>11773.79+620</f>
        <v>12393.79</v>
      </c>
      <c r="D20" s="53">
        <f>6207.59+1340</f>
        <v>7547.59</v>
      </c>
      <c r="E20" s="53">
        <f>11049.45+700</f>
        <v>11749.45</v>
      </c>
      <c r="F20" s="53">
        <f>7526.82+540</f>
        <v>8066.82</v>
      </c>
      <c r="G20" s="53">
        <f>10374.01+1880</f>
        <v>12254.01</v>
      </c>
      <c r="H20" s="53">
        <f>9487.14+880</f>
        <v>10367.14</v>
      </c>
      <c r="I20" s="53">
        <v>9200.36</v>
      </c>
      <c r="J20" s="53">
        <f>6319.59+820</f>
        <v>7139.59</v>
      </c>
      <c r="K20" s="53">
        <v>11676.36</v>
      </c>
      <c r="L20" s="53">
        <v>10695.23</v>
      </c>
      <c r="M20" s="53">
        <v>10443</v>
      </c>
      <c r="N20" s="54">
        <v>9680</v>
      </c>
      <c r="O20" s="105">
        <f>SUM(Tabla5[[#This Row],[Gener]:[Desembre]])</f>
        <v>121213.34</v>
      </c>
    </row>
    <row r="21" spans="1:15" x14ac:dyDescent="0.25">
      <c r="A21" s="90">
        <v>18</v>
      </c>
      <c r="B21" s="86" t="s">
        <v>15</v>
      </c>
      <c r="C21" s="57">
        <v>83430.53</v>
      </c>
      <c r="D21" s="53">
        <v>50255.08</v>
      </c>
      <c r="E21" s="53">
        <f>66563.51+360</f>
        <v>66923.509999999995</v>
      </c>
      <c r="F21" s="53">
        <v>77157.14</v>
      </c>
      <c r="G21" s="53">
        <v>51162.27</v>
      </c>
      <c r="H21" s="53">
        <v>94993.43</v>
      </c>
      <c r="I21" s="53">
        <v>54974.29</v>
      </c>
      <c r="J21" s="53">
        <v>80018.460000000006</v>
      </c>
      <c r="K21" s="53">
        <v>71459.05</v>
      </c>
      <c r="L21" s="53">
        <v>69425.490000000005</v>
      </c>
      <c r="M21" s="53">
        <v>74652.460000000006</v>
      </c>
      <c r="N21" s="54">
        <v>75734</v>
      </c>
      <c r="O21" s="105">
        <f>SUM(Tabla5[[#This Row],[Gener]:[Desembre]])</f>
        <v>850185.71</v>
      </c>
    </row>
    <row r="22" spans="1:15" x14ac:dyDescent="0.25">
      <c r="A22" s="90">
        <v>19</v>
      </c>
      <c r="B22" s="86" t="s">
        <v>16</v>
      </c>
      <c r="C22" s="57">
        <f>811.03+14900+1080</f>
        <v>16791.03</v>
      </c>
      <c r="D22" s="53">
        <f>10540+655</f>
        <v>11195</v>
      </c>
      <c r="E22" s="53">
        <f>15920+775</f>
        <v>16695</v>
      </c>
      <c r="F22" s="53">
        <f>10820+1217.84</f>
        <v>12037.84</v>
      </c>
      <c r="G22" s="53">
        <f>10300+945.64</f>
        <v>11245.64</v>
      </c>
      <c r="H22" s="53">
        <f>10640+614.55</f>
        <v>11254.55</v>
      </c>
      <c r="I22" s="53">
        <v>7107.14</v>
      </c>
      <c r="J22" s="53">
        <f>12540+874.29</f>
        <v>13414.29</v>
      </c>
      <c r="K22" s="53">
        <v>15744</v>
      </c>
      <c r="L22" s="53">
        <v>11256.36</v>
      </c>
      <c r="M22" s="53">
        <v>11148.07</v>
      </c>
      <c r="N22" s="54">
        <v>12514</v>
      </c>
      <c r="O22" s="105">
        <f>SUM(Tabla5[[#This Row],[Gener]:[Desembre]])</f>
        <v>150402.91999999998</v>
      </c>
    </row>
    <row r="23" spans="1:15" x14ac:dyDescent="0.25">
      <c r="A23" s="90">
        <v>20</v>
      </c>
      <c r="B23" s="86" t="s">
        <v>17</v>
      </c>
      <c r="C23" s="57"/>
      <c r="D23" s="53"/>
      <c r="E23" s="53"/>
      <c r="F23" s="53"/>
      <c r="G23" s="53"/>
      <c r="H23" s="53"/>
      <c r="I23" s="53"/>
      <c r="J23" s="53"/>
      <c r="K23" s="53">
        <v>0</v>
      </c>
      <c r="L23" s="53">
        <v>0</v>
      </c>
      <c r="M23" s="53"/>
      <c r="N23" s="54"/>
      <c r="O23" s="105">
        <f>SUM(Tabla5[[#This Row],[Gener]:[Desembre]])</f>
        <v>0</v>
      </c>
    </row>
    <row r="24" spans="1:15" x14ac:dyDescent="0.25">
      <c r="A24" s="90">
        <v>21</v>
      </c>
      <c r="B24" s="86" t="s">
        <v>18</v>
      </c>
      <c r="C24" s="57">
        <v>1960</v>
      </c>
      <c r="D24" s="53">
        <v>1443.33</v>
      </c>
      <c r="E24" s="53"/>
      <c r="F24" s="53">
        <v>2403.08</v>
      </c>
      <c r="G24" s="53">
        <v>1734.05</v>
      </c>
      <c r="H24" s="53">
        <v>2957.89</v>
      </c>
      <c r="I24" s="53">
        <v>2250</v>
      </c>
      <c r="J24" s="53">
        <v>2211.91</v>
      </c>
      <c r="K24" s="53">
        <v>2932.94</v>
      </c>
      <c r="L24" s="53">
        <v>1617.78</v>
      </c>
      <c r="M24" s="53">
        <v>563.48</v>
      </c>
      <c r="N24" s="54">
        <v>2167</v>
      </c>
      <c r="O24" s="105">
        <f>SUM(Tabla5[[#This Row],[Gener]:[Desembre]])</f>
        <v>22241.46</v>
      </c>
    </row>
    <row r="25" spans="1:15" x14ac:dyDescent="0.25">
      <c r="A25" s="90">
        <v>22</v>
      </c>
      <c r="B25" s="86" t="s">
        <v>19</v>
      </c>
      <c r="C25" s="57">
        <v>30360</v>
      </c>
      <c r="D25" s="53">
        <v>31776.23</v>
      </c>
      <c r="E25" s="53">
        <v>23338.34</v>
      </c>
      <c r="F25" s="53">
        <v>24079.06</v>
      </c>
      <c r="G25" s="53">
        <v>16930</v>
      </c>
      <c r="H25" s="53">
        <v>14605.31</v>
      </c>
      <c r="I25" s="53">
        <v>42970.19</v>
      </c>
      <c r="J25" s="53">
        <v>11088.73</v>
      </c>
      <c r="K25" s="53">
        <v>24921.25</v>
      </c>
      <c r="L25" s="53">
        <v>26729.49</v>
      </c>
      <c r="M25" s="53">
        <v>23997.59</v>
      </c>
      <c r="N25" s="54">
        <v>14477</v>
      </c>
      <c r="O25" s="105">
        <f>SUM(Tabla5[[#This Row],[Gener]:[Desembre]])</f>
        <v>285273.19</v>
      </c>
    </row>
    <row r="26" spans="1:15" x14ac:dyDescent="0.25">
      <c r="A26" s="90">
        <v>23</v>
      </c>
      <c r="B26" s="87" t="s">
        <v>43</v>
      </c>
      <c r="C26" s="57">
        <v>15140</v>
      </c>
      <c r="D26" s="53">
        <v>10873.33</v>
      </c>
      <c r="E26" s="53">
        <v>21824.91</v>
      </c>
      <c r="F26" s="53">
        <v>17241.86</v>
      </c>
      <c r="G26" s="53">
        <v>28119.06</v>
      </c>
      <c r="H26" s="53">
        <v>15918.5</v>
      </c>
      <c r="I26" s="53">
        <v>18320</v>
      </c>
      <c r="J26" s="53">
        <v>24402.35</v>
      </c>
      <c r="K26" s="53">
        <v>24279.4</v>
      </c>
      <c r="L26" s="53">
        <v>13412.77</v>
      </c>
      <c r="M26" s="53">
        <v>13982.24</v>
      </c>
      <c r="N26" s="54">
        <v>16399</v>
      </c>
      <c r="O26" s="105">
        <f>SUM(Tabla5[[#This Row],[Gener]:[Desembre]])</f>
        <v>219913.41999999998</v>
      </c>
    </row>
    <row r="27" spans="1:15" x14ac:dyDescent="0.25">
      <c r="A27" s="90">
        <v>24</v>
      </c>
      <c r="B27" s="87" t="s">
        <v>44</v>
      </c>
      <c r="C27" s="57">
        <v>13686.91</v>
      </c>
      <c r="D27" s="53">
        <v>8162.64</v>
      </c>
      <c r="E27" s="53">
        <v>17222.37</v>
      </c>
      <c r="F27" s="53">
        <v>12017.62</v>
      </c>
      <c r="G27" s="53">
        <v>10509.9</v>
      </c>
      <c r="H27" s="53">
        <v>13821.26</v>
      </c>
      <c r="I27" s="53">
        <v>12488.56</v>
      </c>
      <c r="J27" s="53">
        <v>17271.29</v>
      </c>
      <c r="K27" s="53">
        <v>11807.66</v>
      </c>
      <c r="L27" s="53">
        <v>5369.77</v>
      </c>
      <c r="M27" s="53">
        <v>12880.01</v>
      </c>
      <c r="N27" s="54">
        <v>13607</v>
      </c>
      <c r="O27" s="105">
        <f>SUM(Tabla5[[#This Row],[Gener]:[Desembre]])</f>
        <v>148844.99</v>
      </c>
    </row>
    <row r="28" spans="1:15" x14ac:dyDescent="0.25">
      <c r="A28" s="90">
        <v>25</v>
      </c>
      <c r="B28" s="86" t="s">
        <v>20</v>
      </c>
      <c r="C28" s="57">
        <v>32296.85</v>
      </c>
      <c r="D28" s="53">
        <v>15190.45</v>
      </c>
      <c r="E28" s="53">
        <v>41385.57</v>
      </c>
      <c r="F28" s="53">
        <v>32830.870000000003</v>
      </c>
      <c r="G28" s="53">
        <v>18276.2</v>
      </c>
      <c r="H28" s="53">
        <v>20504.82</v>
      </c>
      <c r="I28" s="53">
        <v>32089.02</v>
      </c>
      <c r="J28" s="53">
        <v>27964.98</v>
      </c>
      <c r="K28" s="53">
        <v>38284.910000000003</v>
      </c>
      <c r="L28" s="53">
        <v>28958.98</v>
      </c>
      <c r="M28" s="53">
        <v>24294.720000000001</v>
      </c>
      <c r="N28" s="54">
        <v>31169</v>
      </c>
      <c r="O28" s="105">
        <f>SUM(Tabla5[[#This Row],[Gener]:[Desembre]])</f>
        <v>343246.37</v>
      </c>
    </row>
    <row r="29" spans="1:15" x14ac:dyDescent="0.25">
      <c r="A29" s="90">
        <v>26</v>
      </c>
      <c r="B29" s="87" t="s">
        <v>45</v>
      </c>
      <c r="C29" s="57">
        <v>7380</v>
      </c>
      <c r="D29" s="53">
        <v>7640</v>
      </c>
      <c r="E29" s="53">
        <v>5560</v>
      </c>
      <c r="F29" s="53">
        <v>5460</v>
      </c>
      <c r="G29" s="53">
        <v>6560</v>
      </c>
      <c r="H29" s="53">
        <v>6200</v>
      </c>
      <c r="I29" s="53">
        <v>9520</v>
      </c>
      <c r="J29" s="53">
        <v>6500</v>
      </c>
      <c r="K29" s="53">
        <v>6400</v>
      </c>
      <c r="L29" s="53">
        <v>6900</v>
      </c>
      <c r="M29" s="53">
        <v>5880</v>
      </c>
      <c r="N29" s="54">
        <v>5500</v>
      </c>
      <c r="O29" s="105">
        <f>SUM(Tabla5[[#This Row],[Gener]:[Desembre]])</f>
        <v>79500</v>
      </c>
    </row>
    <row r="30" spans="1:15" x14ac:dyDescent="0.25">
      <c r="A30" s="90">
        <v>27</v>
      </c>
      <c r="B30" s="87" t="s">
        <v>46</v>
      </c>
      <c r="C30" s="57"/>
      <c r="D30" s="53"/>
      <c r="E30" s="53"/>
      <c r="F30" s="53"/>
      <c r="G30" s="53"/>
      <c r="H30" s="53"/>
      <c r="I30" s="53"/>
      <c r="J30" s="53"/>
      <c r="K30" s="53">
        <v>0</v>
      </c>
      <c r="L30" s="53">
        <v>0</v>
      </c>
      <c r="M30" s="53"/>
      <c r="N30" s="54"/>
      <c r="O30" s="105">
        <f>SUM(Tabla5[[#This Row],[Gener]:[Desembre]])</f>
        <v>0</v>
      </c>
    </row>
    <row r="31" spans="1:15" x14ac:dyDescent="0.25">
      <c r="A31" s="90">
        <v>28</v>
      </c>
      <c r="B31" s="87" t="s">
        <v>47</v>
      </c>
      <c r="C31" s="57">
        <v>15484.45</v>
      </c>
      <c r="D31" s="53">
        <v>8302.02</v>
      </c>
      <c r="E31" s="53">
        <v>16379.39</v>
      </c>
      <c r="F31" s="53">
        <v>14140.94</v>
      </c>
      <c r="G31" s="53">
        <v>13808.9</v>
      </c>
      <c r="H31" s="53">
        <v>12082.4</v>
      </c>
      <c r="I31" s="53">
        <v>11143.41</v>
      </c>
      <c r="J31" s="53">
        <v>11904.79</v>
      </c>
      <c r="K31" s="53">
        <v>13874.67</v>
      </c>
      <c r="L31" s="53">
        <v>16164.33</v>
      </c>
      <c r="M31" s="53">
        <v>13987.41</v>
      </c>
      <c r="N31" s="54">
        <v>13326</v>
      </c>
      <c r="O31" s="105">
        <f>SUM(Tabla5[[#This Row],[Gener]:[Desembre]])</f>
        <v>160598.71</v>
      </c>
    </row>
    <row r="32" spans="1:15" x14ac:dyDescent="0.25">
      <c r="A32" s="90">
        <v>29</v>
      </c>
      <c r="B32" s="87" t="s">
        <v>48</v>
      </c>
      <c r="C32" s="57"/>
      <c r="D32" s="53">
        <v>360.83</v>
      </c>
      <c r="E32" s="53"/>
      <c r="F32" s="53">
        <v>247.18</v>
      </c>
      <c r="G32" s="53">
        <v>433.51</v>
      </c>
      <c r="H32" s="53">
        <v>528.41999999999996</v>
      </c>
      <c r="I32" s="53"/>
      <c r="J32" s="53">
        <v>390.97</v>
      </c>
      <c r="K32" s="53">
        <v>417.5</v>
      </c>
      <c r="L32" s="53">
        <v>404.44</v>
      </c>
      <c r="M32" s="53"/>
      <c r="N32" s="54">
        <v>542</v>
      </c>
      <c r="O32" s="105">
        <f>SUM(Tabla5[[#This Row],[Gener]:[Desembre]])</f>
        <v>3324.85</v>
      </c>
    </row>
    <row r="33" spans="1:18" x14ac:dyDescent="0.25">
      <c r="A33" s="90">
        <v>30</v>
      </c>
      <c r="B33" s="87" t="s">
        <v>50</v>
      </c>
      <c r="C33" s="57">
        <v>18120</v>
      </c>
      <c r="D33" s="53">
        <v>15380</v>
      </c>
      <c r="E33" s="53">
        <v>15320</v>
      </c>
      <c r="F33" s="53">
        <v>20140</v>
      </c>
      <c r="G33" s="53">
        <v>15840</v>
      </c>
      <c r="H33" s="53">
        <v>14840</v>
      </c>
      <c r="I33" s="53">
        <v>24540</v>
      </c>
      <c r="J33" s="53">
        <v>16880</v>
      </c>
      <c r="K33" s="53">
        <v>19540</v>
      </c>
      <c r="L33" s="53">
        <v>14300</v>
      </c>
      <c r="M33" s="53">
        <v>14080</v>
      </c>
      <c r="N33" s="54">
        <v>20300</v>
      </c>
      <c r="O33" s="105">
        <f>SUM(Tabla5[[#This Row],[Gener]:[Desembre]])</f>
        <v>209280</v>
      </c>
    </row>
    <row r="34" spans="1:18" x14ac:dyDescent="0.25">
      <c r="A34" s="90">
        <v>31</v>
      </c>
      <c r="B34" s="87" t="s">
        <v>51</v>
      </c>
      <c r="C34" s="57">
        <v>2740</v>
      </c>
      <c r="D34" s="53">
        <v>1435.29</v>
      </c>
      <c r="E34" s="53">
        <v>7320</v>
      </c>
      <c r="F34" s="53">
        <v>1541.15</v>
      </c>
      <c r="G34" s="53">
        <v>2335.5</v>
      </c>
      <c r="H34" s="53">
        <v>3222.86</v>
      </c>
      <c r="I34" s="53">
        <v>2615.64</v>
      </c>
      <c r="J34" s="53">
        <v>506.21</v>
      </c>
      <c r="K34" s="53">
        <v>2124.7800000000002</v>
      </c>
      <c r="L34" s="53">
        <v>2568.25</v>
      </c>
      <c r="M34" s="53">
        <v>3256.26</v>
      </c>
      <c r="N34" s="54">
        <v>3023</v>
      </c>
      <c r="O34" s="105">
        <f>SUM(Tabla5[[#This Row],[Gener]:[Desembre]])</f>
        <v>32688.939999999995</v>
      </c>
    </row>
    <row r="35" spans="1:18" x14ac:dyDescent="0.25">
      <c r="A35" s="90">
        <v>32</v>
      </c>
      <c r="B35" s="87" t="s">
        <v>52</v>
      </c>
      <c r="C35" s="57">
        <v>19650.45</v>
      </c>
      <c r="D35" s="53">
        <v>17556.669999999998</v>
      </c>
      <c r="E35" s="53">
        <v>19003.330000000002</v>
      </c>
      <c r="F35" s="53">
        <v>25281.29</v>
      </c>
      <c r="G35" s="53">
        <v>12815.58</v>
      </c>
      <c r="H35" s="53">
        <v>20061.59</v>
      </c>
      <c r="I35" s="53">
        <v>19554.91</v>
      </c>
      <c r="J35" s="53">
        <v>17142.689999999999</v>
      </c>
      <c r="K35" s="53">
        <v>24724.44</v>
      </c>
      <c r="L35" s="53">
        <v>20984.080000000002</v>
      </c>
      <c r="M35" s="53">
        <v>22842.799999999999</v>
      </c>
      <c r="N35" s="54">
        <v>22978</v>
      </c>
      <c r="O35" s="105">
        <f>SUM(Tabla5[[#This Row],[Gener]:[Desembre]])</f>
        <v>242595.82999999996</v>
      </c>
    </row>
    <row r="36" spans="1:18" x14ac:dyDescent="0.25">
      <c r="A36" s="90">
        <v>33</v>
      </c>
      <c r="B36" s="86" t="s">
        <v>21</v>
      </c>
      <c r="C36" s="57">
        <v>1360</v>
      </c>
      <c r="D36" s="53"/>
      <c r="E36" s="53">
        <v>1021.33</v>
      </c>
      <c r="F36" s="53"/>
      <c r="G36" s="53">
        <v>777.78</v>
      </c>
      <c r="H36" s="53"/>
      <c r="I36" s="53">
        <v>1305.45</v>
      </c>
      <c r="J36" s="53"/>
      <c r="K36" s="53">
        <v>1303.6400000000001</v>
      </c>
      <c r="L36" s="53">
        <v>0</v>
      </c>
      <c r="M36" s="53">
        <v>1261.71</v>
      </c>
      <c r="N36" s="54"/>
      <c r="O36" s="105">
        <f>SUM(Tabla5[[#This Row],[Gener]:[Desembre]])</f>
        <v>7029.91</v>
      </c>
    </row>
    <row r="37" spans="1:18" x14ac:dyDescent="0.25">
      <c r="A37" s="90">
        <v>34</v>
      </c>
      <c r="B37" s="86" t="s">
        <v>22</v>
      </c>
      <c r="C37" s="57">
        <v>7457.91</v>
      </c>
      <c r="D37" s="53">
        <v>4036.19</v>
      </c>
      <c r="E37" s="53">
        <v>4643.72</v>
      </c>
      <c r="F37" s="53">
        <v>8464.75</v>
      </c>
      <c r="G37" s="53">
        <v>6049.81</v>
      </c>
      <c r="H37" s="53">
        <v>8048.89</v>
      </c>
      <c r="I37" s="53">
        <v>6183.83</v>
      </c>
      <c r="J37" s="53">
        <v>7198.99</v>
      </c>
      <c r="K37" s="53">
        <v>6449.82</v>
      </c>
      <c r="L37" s="53">
        <v>6445.61</v>
      </c>
      <c r="M37" s="53">
        <v>5984.41</v>
      </c>
      <c r="N37" s="54">
        <v>5974</v>
      </c>
      <c r="O37" s="105">
        <f>SUM(Tabla5[[#This Row],[Gener]:[Desembre]])</f>
        <v>76937.930000000008</v>
      </c>
    </row>
    <row r="38" spans="1:18" x14ac:dyDescent="0.25">
      <c r="A38" s="90">
        <v>35</v>
      </c>
      <c r="B38" s="86" t="s">
        <v>23</v>
      </c>
      <c r="C38" s="57">
        <v>13840</v>
      </c>
      <c r="D38" s="53">
        <v>5759.47</v>
      </c>
      <c r="E38" s="53">
        <v>17676</v>
      </c>
      <c r="F38" s="53">
        <v>8937.08</v>
      </c>
      <c r="G38" s="53">
        <v>879.31</v>
      </c>
      <c r="H38" s="53">
        <v>8608.89</v>
      </c>
      <c r="I38" s="53">
        <v>7820</v>
      </c>
      <c r="J38" s="53">
        <v>13880</v>
      </c>
      <c r="K38" s="53">
        <v>9873.33</v>
      </c>
      <c r="L38" s="53">
        <v>7522.2</v>
      </c>
      <c r="M38" s="53">
        <v>8316.69</v>
      </c>
      <c r="N38" s="54">
        <v>9502</v>
      </c>
      <c r="O38" s="105">
        <f>SUM(Tabla5[[#This Row],[Gener]:[Desembre]])</f>
        <v>112614.97</v>
      </c>
    </row>
    <row r="39" spans="1:18" x14ac:dyDescent="0.25">
      <c r="A39" s="90">
        <v>36</v>
      </c>
      <c r="B39" s="86" t="s">
        <v>24</v>
      </c>
      <c r="C39" s="57">
        <v>2448</v>
      </c>
      <c r="D39" s="53">
        <v>1134.55</v>
      </c>
      <c r="E39" s="53">
        <v>1607.44</v>
      </c>
      <c r="F39" s="53">
        <v>5813.68</v>
      </c>
      <c r="G39" s="53">
        <v>3606.71</v>
      </c>
      <c r="H39" s="53">
        <v>1526.9</v>
      </c>
      <c r="I39" s="53">
        <v>1987.66</v>
      </c>
      <c r="J39" s="53">
        <v>2243.08</v>
      </c>
      <c r="K39" s="53">
        <v>1470.88</v>
      </c>
      <c r="L39" s="53">
        <v>1795.51</v>
      </c>
      <c r="M39" s="53">
        <v>2674.08</v>
      </c>
      <c r="N39" s="54">
        <v>3215</v>
      </c>
      <c r="O39" s="105">
        <f>SUM(Tabla5[[#This Row],[Gener]:[Desembre]])</f>
        <v>29523.490000000005</v>
      </c>
    </row>
    <row r="40" spans="1:18" x14ac:dyDescent="0.25">
      <c r="A40" s="90">
        <v>37</v>
      </c>
      <c r="B40" s="86" t="s">
        <v>25</v>
      </c>
      <c r="C40" s="57">
        <v>8080</v>
      </c>
      <c r="D40" s="53">
        <v>5854.81</v>
      </c>
      <c r="E40" s="53">
        <v>14680</v>
      </c>
      <c r="F40" s="53">
        <v>7556.52</v>
      </c>
      <c r="G40" s="53">
        <v>6300</v>
      </c>
      <c r="H40" s="53">
        <v>9020.59</v>
      </c>
      <c r="I40" s="53">
        <v>23438.78</v>
      </c>
      <c r="J40" s="53">
        <v>12494.26</v>
      </c>
      <c r="K40" s="53">
        <v>21968.18</v>
      </c>
      <c r="L40" s="53">
        <v>9533.35</v>
      </c>
      <c r="M40" s="53">
        <v>16968.93</v>
      </c>
      <c r="N40" s="54">
        <v>7568</v>
      </c>
      <c r="O40" s="105">
        <f>SUM(Tabla5[[#This Row],[Gener]:[Desembre]])</f>
        <v>143463.41999999998</v>
      </c>
    </row>
    <row r="41" spans="1:18" x14ac:dyDescent="0.25">
      <c r="A41" s="90">
        <v>38</v>
      </c>
      <c r="B41" s="86" t="s">
        <v>5</v>
      </c>
      <c r="C41" s="57">
        <v>2770.34</v>
      </c>
      <c r="D41" s="53">
        <v>2513.5700000000002</v>
      </c>
      <c r="E41" s="53">
        <v>2875.68</v>
      </c>
      <c r="F41" s="53">
        <v>4158.5600000000004</v>
      </c>
      <c r="G41" s="53">
        <v>3353.87</v>
      </c>
      <c r="H41" s="53">
        <v>2151.7199999999998</v>
      </c>
      <c r="I41" s="53">
        <v>3807.69</v>
      </c>
      <c r="J41" s="53">
        <v>4492.8500000000004</v>
      </c>
      <c r="K41" s="53">
        <v>4190.59</v>
      </c>
      <c r="L41" s="53">
        <v>2694.83</v>
      </c>
      <c r="M41" s="53">
        <v>3199.26</v>
      </c>
      <c r="N41" s="54">
        <v>3857</v>
      </c>
      <c r="O41" s="105">
        <f>SUM(Tabla5[[#This Row],[Gener]:[Desembre]])</f>
        <v>40065.96</v>
      </c>
    </row>
    <row r="42" spans="1:18" x14ac:dyDescent="0.25">
      <c r="A42" s="90">
        <v>39</v>
      </c>
      <c r="B42" s="86" t="s">
        <v>6</v>
      </c>
      <c r="C42" s="57">
        <v>4037.24</v>
      </c>
      <c r="D42" s="53">
        <v>4747.8599999999997</v>
      </c>
      <c r="E42" s="53">
        <v>3491.89</v>
      </c>
      <c r="F42" s="53">
        <v>5809.45</v>
      </c>
      <c r="G42" s="53">
        <v>4127.84</v>
      </c>
      <c r="H42" s="53">
        <v>2582.0700000000002</v>
      </c>
      <c r="I42" s="53">
        <v>4823.08</v>
      </c>
      <c r="J42" s="53">
        <v>4802.5</v>
      </c>
      <c r="K42" s="53">
        <v>3991.06</v>
      </c>
      <c r="L42" s="53">
        <v>4056.77</v>
      </c>
      <c r="M42" s="53">
        <v>6989.63</v>
      </c>
      <c r="N42" s="137">
        <v>4658</v>
      </c>
      <c r="O42" s="105">
        <f>SUM(Tabla5[[#This Row],[Gener]:[Desembre]])</f>
        <v>54117.389999999992</v>
      </c>
    </row>
    <row r="43" spans="1:18" x14ac:dyDescent="0.25">
      <c r="A43" s="90">
        <v>40</v>
      </c>
      <c r="B43" s="86" t="s">
        <v>8</v>
      </c>
      <c r="C43" s="57">
        <v>852.41</v>
      </c>
      <c r="D43" s="53">
        <v>279.29000000000002</v>
      </c>
      <c r="E43" s="53">
        <v>1027.03</v>
      </c>
      <c r="F43" s="53">
        <v>1222.5</v>
      </c>
      <c r="G43" s="53">
        <v>903.04</v>
      </c>
      <c r="H43" s="53">
        <v>430.34</v>
      </c>
      <c r="I43" s="53">
        <v>1269.23</v>
      </c>
      <c r="J43" s="53">
        <v>1073.51</v>
      </c>
      <c r="K43" s="53">
        <v>756</v>
      </c>
      <c r="L43" s="53">
        <v>1151.3699999999999</v>
      </c>
      <c r="M43" s="53">
        <v>954.07</v>
      </c>
      <c r="N43" s="137">
        <v>1752</v>
      </c>
      <c r="O43" s="105">
        <f>SUM(Tabla5[[#This Row],[Gener]:[Desembre]])</f>
        <v>11670.79</v>
      </c>
    </row>
    <row r="44" spans="1:18" ht="15.75" thickBot="1" x14ac:dyDescent="0.3">
      <c r="A44" s="130">
        <v>41</v>
      </c>
      <c r="B44" s="131" t="s">
        <v>49</v>
      </c>
      <c r="C44" s="132"/>
      <c r="D44" s="133"/>
      <c r="E44" s="133"/>
      <c r="F44" s="133"/>
      <c r="G44" s="133"/>
      <c r="H44" s="133"/>
      <c r="I44" s="133"/>
      <c r="J44" s="133"/>
      <c r="K44" s="133">
        <v>0</v>
      </c>
      <c r="L44" s="133">
        <v>0</v>
      </c>
      <c r="M44" s="133"/>
      <c r="N44" s="138"/>
      <c r="O44" s="106">
        <f>SUM(Tabla5[[#This Row],[Gener]:[Desembre]])</f>
        <v>0</v>
      </c>
      <c r="R44" s="145"/>
    </row>
    <row r="45" spans="1:18" s="4" customFormat="1" ht="15.75" thickBot="1" x14ac:dyDescent="0.3">
      <c r="A45" s="134"/>
      <c r="B45" s="158" t="s">
        <v>61</v>
      </c>
      <c r="C45" s="135">
        <f t="shared" ref="C45:N45" si="0">SUBTOTAL(109,C5:C44)</f>
        <v>624320.56999999995</v>
      </c>
      <c r="D45" s="136">
        <f t="shared" si="0"/>
        <v>457183.09</v>
      </c>
      <c r="E45" s="136">
        <f t="shared" si="0"/>
        <v>545729.31000000006</v>
      </c>
      <c r="F45" s="136">
        <f t="shared" si="0"/>
        <v>621077.87000000011</v>
      </c>
      <c r="G45" s="136">
        <f t="shared" si="0"/>
        <v>451311.60000000015</v>
      </c>
      <c r="H45" s="136">
        <f t="shared" si="0"/>
        <v>537072.03999999992</v>
      </c>
      <c r="I45" s="136">
        <f t="shared" si="0"/>
        <v>597192.22999999986</v>
      </c>
      <c r="J45" s="136">
        <f t="shared" si="0"/>
        <v>562194.68999999971</v>
      </c>
      <c r="K45" s="136">
        <f t="shared" si="0"/>
        <v>586630</v>
      </c>
      <c r="L45" s="136">
        <f t="shared" si="0"/>
        <v>509111.1700000001</v>
      </c>
      <c r="M45" s="136">
        <f t="shared" si="0"/>
        <v>550437.83000000007</v>
      </c>
      <c r="N45" s="139">
        <f t="shared" si="0"/>
        <v>555604</v>
      </c>
      <c r="O45" s="141">
        <f>SUBTOTAL(109,O5:O44)</f>
        <v>6597864.3999999994</v>
      </c>
    </row>
    <row r="46" spans="1:18" ht="15.75" thickBot="1" x14ac:dyDescent="0.3">
      <c r="A46" s="84"/>
      <c r="B46" s="28" t="s">
        <v>60</v>
      </c>
      <c r="C46" s="29">
        <v>715158.38000000012</v>
      </c>
      <c r="D46" s="30">
        <v>444419.8600000001</v>
      </c>
      <c r="E46" s="30">
        <v>553002.98999999976</v>
      </c>
      <c r="F46" s="30">
        <v>509959.11999999994</v>
      </c>
      <c r="G46" s="30">
        <v>462970.54000000004</v>
      </c>
      <c r="H46" s="30">
        <v>606082.45000000007</v>
      </c>
      <c r="I46" s="30">
        <v>665232.35</v>
      </c>
      <c r="J46" s="30">
        <v>542675.20000000019</v>
      </c>
      <c r="K46" s="30">
        <v>548264.05999999982</v>
      </c>
      <c r="L46" s="30">
        <v>480047.67999999988</v>
      </c>
      <c r="M46" s="30">
        <v>512420.74999999994</v>
      </c>
      <c r="N46" s="140">
        <v>613171.46000000031</v>
      </c>
      <c r="O46" s="142">
        <f>SUM(Tabla5[[#This Row],[Gener]:[Desembre]])</f>
        <v>6653404.8399999999</v>
      </c>
    </row>
    <row r="47" spans="1:18" ht="15.75" thickBot="1" x14ac:dyDescent="0.3">
      <c r="A47" s="84"/>
      <c r="B47" s="66" t="s">
        <v>57</v>
      </c>
      <c r="C47" s="67">
        <f t="shared" ref="C47:O47" si="1">(C45/C46)-1</f>
        <v>-0.12701775234738932</v>
      </c>
      <c r="D47" s="67">
        <f t="shared" si="1"/>
        <v>2.8718856083524091E-2</v>
      </c>
      <c r="E47" s="67">
        <f t="shared" si="1"/>
        <v>-1.3153057273704305E-2</v>
      </c>
      <c r="F47" s="67">
        <f t="shared" si="1"/>
        <v>0.21789736793019832</v>
      </c>
      <c r="G47" s="67">
        <f t="shared" si="1"/>
        <v>-2.5182898246613905E-2</v>
      </c>
      <c r="H47" s="67">
        <f t="shared" si="1"/>
        <v>-0.11386307259020645</v>
      </c>
      <c r="I47" s="67">
        <f t="shared" si="1"/>
        <v>-0.1022802333650793</v>
      </c>
      <c r="J47" s="67">
        <f t="shared" si="1"/>
        <v>3.5969010561012427E-2</v>
      </c>
      <c r="K47" s="67">
        <f t="shared" si="1"/>
        <v>6.9977120149002925E-2</v>
      </c>
      <c r="L47" s="67">
        <f t="shared" si="1"/>
        <v>6.0542923569592677E-2</v>
      </c>
      <c r="M47" s="67">
        <f t="shared" si="1"/>
        <v>7.4191140776403319E-2</v>
      </c>
      <c r="N47" s="67">
        <f t="shared" si="1"/>
        <v>-9.3884767565666327E-2</v>
      </c>
      <c r="O47" s="67">
        <f t="shared" si="1"/>
        <v>-8.3476718064852129E-3</v>
      </c>
    </row>
    <row r="48" spans="1:18" x14ac:dyDescent="0.25">
      <c r="B48" s="18" t="s">
        <v>67</v>
      </c>
    </row>
  </sheetData>
  <sheetProtection password="C3D2"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Zeros="0" zoomScale="90" zoomScaleNormal="90" workbookViewId="0">
      <selection activeCell="D26" sqref="D26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20" bestFit="1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77"/>
    <col min="16" max="16384" width="11.42578125" style="3"/>
  </cols>
  <sheetData>
    <row r="1" spans="1:15" ht="15.75" x14ac:dyDescent="0.25">
      <c r="B1" s="1" t="s">
        <v>62</v>
      </c>
    </row>
    <row r="2" spans="1:15" ht="15.75" thickBot="1" x14ac:dyDescent="0.3">
      <c r="C2" s="4" t="s">
        <v>55</v>
      </c>
    </row>
    <row r="3" spans="1:15" ht="15.75" thickBot="1" x14ac:dyDescent="0.3">
      <c r="A3" s="8" t="s">
        <v>58</v>
      </c>
      <c r="B3" s="23" t="s">
        <v>56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7" t="s">
        <v>38</v>
      </c>
    </row>
    <row r="4" spans="1:15" x14ac:dyDescent="0.25">
      <c r="A4" s="107">
        <v>1</v>
      </c>
      <c r="B4" s="26" t="s">
        <v>39</v>
      </c>
      <c r="C4" s="93">
        <v>28960</v>
      </c>
      <c r="D4" s="94">
        <v>28920</v>
      </c>
      <c r="E4" s="94">
        <v>34100</v>
      </c>
      <c r="F4" s="94">
        <v>35860</v>
      </c>
      <c r="G4" s="94">
        <v>40140</v>
      </c>
      <c r="H4" s="94">
        <v>37360</v>
      </c>
      <c r="I4" s="94">
        <v>36340</v>
      </c>
      <c r="J4" s="94">
        <v>31400</v>
      </c>
      <c r="K4" s="94">
        <v>29180</v>
      </c>
      <c r="L4" s="94">
        <v>33660</v>
      </c>
      <c r="M4" s="94">
        <v>27260</v>
      </c>
      <c r="N4" s="95">
        <v>28460</v>
      </c>
      <c r="O4" s="104">
        <f>SUM(Tabla8[[#This Row],[Gener]:[Desembre]])</f>
        <v>391640</v>
      </c>
    </row>
    <row r="5" spans="1:15" x14ac:dyDescent="0.25">
      <c r="A5" s="108">
        <v>2</v>
      </c>
      <c r="B5" s="24" t="s">
        <v>0</v>
      </c>
      <c r="C5" s="96"/>
      <c r="D5" s="97"/>
      <c r="E5" s="97"/>
      <c r="F5" s="97"/>
      <c r="G5" s="97"/>
      <c r="H5" s="97"/>
      <c r="I5" s="97"/>
      <c r="J5" s="97"/>
      <c r="K5" s="97">
        <v>0</v>
      </c>
      <c r="L5" s="97">
        <v>0</v>
      </c>
      <c r="M5" s="97"/>
      <c r="N5" s="98"/>
      <c r="O5" s="105">
        <v>0</v>
      </c>
    </row>
    <row r="6" spans="1:15" x14ac:dyDescent="0.25">
      <c r="A6" s="108">
        <v>3</v>
      </c>
      <c r="B6" s="24" t="s">
        <v>1</v>
      </c>
      <c r="C6" s="96"/>
      <c r="D6" s="97"/>
      <c r="E6" s="97"/>
      <c r="F6" s="97"/>
      <c r="G6" s="97"/>
      <c r="H6" s="97"/>
      <c r="I6" s="97"/>
      <c r="J6" s="97"/>
      <c r="K6" s="97">
        <v>0</v>
      </c>
      <c r="L6" s="97">
        <v>0</v>
      </c>
      <c r="M6" s="97"/>
      <c r="N6" s="98"/>
      <c r="O6" s="105">
        <v>0</v>
      </c>
    </row>
    <row r="7" spans="1:15" x14ac:dyDescent="0.25">
      <c r="A7" s="108">
        <v>4</v>
      </c>
      <c r="B7" s="24" t="s">
        <v>2</v>
      </c>
      <c r="C7" s="96">
        <v>4509.25</v>
      </c>
      <c r="D7" s="97">
        <v>4071.81</v>
      </c>
      <c r="E7" s="97">
        <v>7229.86</v>
      </c>
      <c r="F7" s="97">
        <v>6886.81</v>
      </c>
      <c r="G7" s="97">
        <v>6816.16</v>
      </c>
      <c r="H7" s="97">
        <v>6573.86</v>
      </c>
      <c r="I7" s="97">
        <v>5159.78</v>
      </c>
      <c r="J7" s="97">
        <v>6446.63</v>
      </c>
      <c r="K7" s="97">
        <v>4743.58</v>
      </c>
      <c r="L7" s="97">
        <v>5578.16</v>
      </c>
      <c r="M7" s="97">
        <v>6279.2</v>
      </c>
      <c r="N7" s="98">
        <v>4911</v>
      </c>
      <c r="O7" s="105">
        <f>SUM(Tabla8[[#This Row],[Gener]:[Desembre]])</f>
        <v>69206.099999999991</v>
      </c>
    </row>
    <row r="8" spans="1:15" x14ac:dyDescent="0.25">
      <c r="A8" s="108">
        <v>5</v>
      </c>
      <c r="B8" s="24" t="s">
        <v>3</v>
      </c>
      <c r="C8" s="96"/>
      <c r="D8" s="97"/>
      <c r="E8" s="97"/>
      <c r="F8" s="97"/>
      <c r="G8" s="97"/>
      <c r="H8" s="97"/>
      <c r="I8" s="97"/>
      <c r="J8" s="97"/>
      <c r="K8" s="97">
        <v>0</v>
      </c>
      <c r="L8" s="97">
        <v>0</v>
      </c>
      <c r="M8" s="97"/>
      <c r="N8" s="98"/>
      <c r="O8" s="105">
        <v>0</v>
      </c>
    </row>
    <row r="9" spans="1:15" x14ac:dyDescent="0.25">
      <c r="A9" s="108">
        <v>6</v>
      </c>
      <c r="B9" s="24" t="s">
        <v>4</v>
      </c>
      <c r="C9" s="96">
        <v>73740</v>
      </c>
      <c r="D9" s="97">
        <v>74460</v>
      </c>
      <c r="E9" s="97">
        <v>87300</v>
      </c>
      <c r="F9" s="97">
        <v>87480</v>
      </c>
      <c r="G9" s="97">
        <v>94020</v>
      </c>
      <c r="H9" s="97">
        <v>91600</v>
      </c>
      <c r="I9" s="97">
        <v>86540</v>
      </c>
      <c r="J9" s="97">
        <v>74800</v>
      </c>
      <c r="K9" s="97">
        <v>76980</v>
      </c>
      <c r="L9" s="97">
        <v>77440</v>
      </c>
      <c r="M9" s="97">
        <v>81460</v>
      </c>
      <c r="N9" s="98">
        <v>81400</v>
      </c>
      <c r="O9" s="105">
        <f>SUM(Tabla8[[#This Row],[Gener]:[Desembre]])</f>
        <v>987220</v>
      </c>
    </row>
    <row r="10" spans="1:15" x14ac:dyDescent="0.25">
      <c r="A10" s="108">
        <v>8</v>
      </c>
      <c r="B10" s="24" t="s">
        <v>7</v>
      </c>
      <c r="C10" s="96">
        <v>2924.9</v>
      </c>
      <c r="D10" s="97">
        <v>3171.02</v>
      </c>
      <c r="E10" s="97">
        <v>5684.26</v>
      </c>
      <c r="F10" s="97">
        <v>5832.41</v>
      </c>
      <c r="G10" s="97">
        <v>7150.79</v>
      </c>
      <c r="H10" s="97">
        <v>8632.31</v>
      </c>
      <c r="I10" s="97">
        <v>7743.24</v>
      </c>
      <c r="J10" s="97">
        <v>9763.75</v>
      </c>
      <c r="K10" s="97">
        <v>5737.71</v>
      </c>
      <c r="L10" s="97">
        <v>9024.94</v>
      </c>
      <c r="M10" s="97">
        <v>9613.4500000000007</v>
      </c>
      <c r="N10" s="98">
        <v>8063</v>
      </c>
      <c r="O10" s="105">
        <f>SUM(Tabla8[[#This Row],[Gener]:[Desembre]])</f>
        <v>83341.78</v>
      </c>
    </row>
    <row r="11" spans="1:15" x14ac:dyDescent="0.25">
      <c r="A11" s="108">
        <v>9</v>
      </c>
      <c r="B11" s="91" t="s">
        <v>40</v>
      </c>
      <c r="C11" s="96"/>
      <c r="D11" s="97"/>
      <c r="E11" s="97"/>
      <c r="F11" s="97"/>
      <c r="G11" s="97"/>
      <c r="H11" s="97"/>
      <c r="I11" s="97"/>
      <c r="J11" s="97"/>
      <c r="K11" s="97">
        <v>0</v>
      </c>
      <c r="L11" s="97">
        <v>0</v>
      </c>
      <c r="M11" s="97"/>
      <c r="N11" s="98"/>
      <c r="O11" s="106">
        <v>0</v>
      </c>
    </row>
    <row r="12" spans="1:15" x14ac:dyDescent="0.25">
      <c r="A12" s="108">
        <v>10</v>
      </c>
      <c r="B12" s="24" t="s">
        <v>41</v>
      </c>
      <c r="C12" s="96"/>
      <c r="D12" s="97"/>
      <c r="E12" s="97"/>
      <c r="F12" s="97"/>
      <c r="G12" s="97"/>
      <c r="H12" s="97"/>
      <c r="I12" s="97"/>
      <c r="J12" s="97"/>
      <c r="K12" s="97">
        <v>0</v>
      </c>
      <c r="L12" s="97">
        <v>0</v>
      </c>
      <c r="M12" s="97"/>
      <c r="N12" s="98"/>
      <c r="O12" s="105">
        <v>0</v>
      </c>
    </row>
    <row r="13" spans="1:15" x14ac:dyDescent="0.25">
      <c r="A13" s="108">
        <v>11</v>
      </c>
      <c r="B13" s="24" t="s">
        <v>9</v>
      </c>
      <c r="C13" s="96"/>
      <c r="D13" s="97"/>
      <c r="E13" s="97"/>
      <c r="F13" s="97"/>
      <c r="G13" s="97"/>
      <c r="H13" s="97"/>
      <c r="I13" s="97"/>
      <c r="J13" s="97"/>
      <c r="K13" s="97">
        <v>0</v>
      </c>
      <c r="L13" s="97">
        <v>0</v>
      </c>
      <c r="M13" s="97"/>
      <c r="N13" s="98"/>
      <c r="O13" s="105">
        <v>0</v>
      </c>
    </row>
    <row r="14" spans="1:15" x14ac:dyDescent="0.25">
      <c r="A14" s="108">
        <v>12</v>
      </c>
      <c r="B14" s="24" t="s">
        <v>10</v>
      </c>
      <c r="C14" s="96"/>
      <c r="D14" s="97"/>
      <c r="E14" s="97"/>
      <c r="F14" s="97"/>
      <c r="G14" s="97"/>
      <c r="H14" s="97"/>
      <c r="I14" s="97"/>
      <c r="J14" s="97"/>
      <c r="K14" s="97">
        <v>0</v>
      </c>
      <c r="L14" s="97">
        <v>0</v>
      </c>
      <c r="M14" s="97"/>
      <c r="N14" s="98"/>
      <c r="O14" s="105">
        <v>0</v>
      </c>
    </row>
    <row r="15" spans="1:15" x14ac:dyDescent="0.25">
      <c r="A15" s="108">
        <v>13</v>
      </c>
      <c r="B15" s="24" t="s">
        <v>42</v>
      </c>
      <c r="C15" s="96">
        <v>28620</v>
      </c>
      <c r="D15" s="97">
        <v>30540</v>
      </c>
      <c r="E15" s="97">
        <f>30120+2860</f>
        <v>32980</v>
      </c>
      <c r="F15" s="97">
        <v>31000</v>
      </c>
      <c r="G15" s="97">
        <v>34660</v>
      </c>
      <c r="H15" s="97">
        <v>33360</v>
      </c>
      <c r="I15" s="97">
        <v>31680</v>
      </c>
      <c r="J15" s="97">
        <v>23620</v>
      </c>
      <c r="K15" s="97">
        <v>29360</v>
      </c>
      <c r="L15" s="97">
        <v>31020</v>
      </c>
      <c r="M15" s="97">
        <v>28860</v>
      </c>
      <c r="N15" s="98">
        <v>28800</v>
      </c>
      <c r="O15" s="105">
        <f>SUM(Tabla8[[#This Row],[Gener]:[Desembre]])</f>
        <v>364500</v>
      </c>
    </row>
    <row r="16" spans="1:15" x14ac:dyDescent="0.25">
      <c r="A16" s="108">
        <v>14</v>
      </c>
      <c r="B16" s="24" t="s">
        <v>11</v>
      </c>
      <c r="C16" s="96"/>
      <c r="D16" s="97"/>
      <c r="E16" s="97"/>
      <c r="F16" s="97"/>
      <c r="G16" s="97"/>
      <c r="H16" s="97"/>
      <c r="I16" s="97"/>
      <c r="J16" s="97"/>
      <c r="K16" s="97">
        <v>0</v>
      </c>
      <c r="L16" s="97">
        <v>0</v>
      </c>
      <c r="M16" s="97"/>
      <c r="N16" s="98"/>
      <c r="O16" s="105">
        <v>0</v>
      </c>
    </row>
    <row r="17" spans="1:15" x14ac:dyDescent="0.25">
      <c r="A17" s="108">
        <v>15</v>
      </c>
      <c r="B17" s="24" t="s">
        <v>12</v>
      </c>
      <c r="C17" s="96"/>
      <c r="D17" s="97"/>
      <c r="E17" s="97"/>
      <c r="F17" s="97"/>
      <c r="G17" s="97"/>
      <c r="H17" s="97"/>
      <c r="I17" s="97"/>
      <c r="J17" s="97"/>
      <c r="K17" s="97">
        <v>0</v>
      </c>
      <c r="L17" s="97">
        <v>0</v>
      </c>
      <c r="M17" s="97"/>
      <c r="N17" s="98"/>
      <c r="O17" s="105">
        <v>0</v>
      </c>
    </row>
    <row r="18" spans="1:15" x14ac:dyDescent="0.25">
      <c r="A18" s="108">
        <v>16</v>
      </c>
      <c r="B18" s="24" t="s">
        <v>13</v>
      </c>
      <c r="C18" s="96"/>
      <c r="D18" s="97"/>
      <c r="E18" s="97"/>
      <c r="F18" s="97"/>
      <c r="G18" s="97"/>
      <c r="H18" s="97"/>
      <c r="I18" s="97"/>
      <c r="J18" s="97"/>
      <c r="K18" s="97">
        <v>0</v>
      </c>
      <c r="L18" s="97">
        <v>0</v>
      </c>
      <c r="M18" s="97"/>
      <c r="N18" s="98"/>
      <c r="O18" s="105">
        <v>0</v>
      </c>
    </row>
    <row r="19" spans="1:15" x14ac:dyDescent="0.25">
      <c r="A19" s="108">
        <v>17</v>
      </c>
      <c r="B19" s="24" t="s">
        <v>14</v>
      </c>
      <c r="C19" s="96">
        <v>53840</v>
      </c>
      <c r="D19" s="97">
        <f>3300+3460+46040</f>
        <v>52800</v>
      </c>
      <c r="E19" s="97">
        <v>52560</v>
      </c>
      <c r="F19" s="97">
        <v>55340</v>
      </c>
      <c r="G19" s="97">
        <v>59280</v>
      </c>
      <c r="H19" s="97">
        <v>56560</v>
      </c>
      <c r="I19" s="97">
        <v>56840</v>
      </c>
      <c r="J19" s="97">
        <v>49680</v>
      </c>
      <c r="K19" s="97">
        <v>54840</v>
      </c>
      <c r="L19" s="97">
        <v>52600</v>
      </c>
      <c r="M19" s="97">
        <v>52380</v>
      </c>
      <c r="N19" s="98">
        <v>51780</v>
      </c>
      <c r="O19" s="105">
        <f>SUM(Tabla8[[#This Row],[Gener]:[Desembre]])</f>
        <v>648500</v>
      </c>
    </row>
    <row r="20" spans="1:15" x14ac:dyDescent="0.25">
      <c r="A20" s="108">
        <v>18</v>
      </c>
      <c r="B20" s="24" t="s">
        <v>15</v>
      </c>
      <c r="C20" s="96"/>
      <c r="D20" s="97"/>
      <c r="E20" s="97"/>
      <c r="F20" s="97"/>
      <c r="G20" s="97"/>
      <c r="H20" s="97"/>
      <c r="I20" s="97"/>
      <c r="J20" s="97"/>
      <c r="K20" s="97">
        <v>0</v>
      </c>
      <c r="L20" s="97">
        <v>0</v>
      </c>
      <c r="M20" s="97"/>
      <c r="N20" s="98"/>
      <c r="O20" s="105">
        <v>0</v>
      </c>
    </row>
    <row r="21" spans="1:15" x14ac:dyDescent="0.25">
      <c r="A21" s="108">
        <v>19</v>
      </c>
      <c r="B21" s="24" t="s">
        <v>16</v>
      </c>
      <c r="C21" s="96">
        <f>26440+6560</f>
        <v>33000</v>
      </c>
      <c r="D21" s="97">
        <f>140+26340+7000</f>
        <v>33480</v>
      </c>
      <c r="E21" s="97">
        <f>30960+9440</f>
        <v>40400</v>
      </c>
      <c r="F21" s="97">
        <f>26960+8720</f>
        <v>35680</v>
      </c>
      <c r="G21" s="97">
        <f>2160+26700+10060</f>
        <v>38920</v>
      </c>
      <c r="H21" s="97">
        <f>27540+10640</f>
        <v>38180</v>
      </c>
      <c r="I21" s="97">
        <v>35400</v>
      </c>
      <c r="J21" s="97">
        <f>21200+6360</f>
        <v>27560</v>
      </c>
      <c r="K21" s="97">
        <v>36400</v>
      </c>
      <c r="L21" s="97">
        <v>35480</v>
      </c>
      <c r="M21" s="97">
        <v>33940</v>
      </c>
      <c r="N21" s="98">
        <v>34140</v>
      </c>
      <c r="O21" s="105">
        <f>SUM(Tabla8[[#This Row],[Gener]:[Desembre]])</f>
        <v>422580</v>
      </c>
    </row>
    <row r="22" spans="1:15" x14ac:dyDescent="0.25">
      <c r="A22" s="108">
        <v>20</v>
      </c>
      <c r="B22" s="24" t="s">
        <v>17</v>
      </c>
      <c r="C22" s="96"/>
      <c r="D22" s="97"/>
      <c r="E22" s="97"/>
      <c r="F22" s="97"/>
      <c r="G22" s="97"/>
      <c r="H22" s="97"/>
      <c r="I22" s="97"/>
      <c r="J22" s="97"/>
      <c r="K22" s="97">
        <v>0</v>
      </c>
      <c r="L22" s="97">
        <v>0</v>
      </c>
      <c r="M22" s="97"/>
      <c r="N22" s="98"/>
      <c r="O22" s="105">
        <v>0</v>
      </c>
    </row>
    <row r="23" spans="1:15" x14ac:dyDescent="0.25">
      <c r="A23" s="108">
        <v>21</v>
      </c>
      <c r="B23" s="24" t="s">
        <v>18</v>
      </c>
      <c r="C23" s="96">
        <v>1901.69</v>
      </c>
      <c r="D23" s="97">
        <v>2060.41</v>
      </c>
      <c r="E23" s="97">
        <v>4025.86</v>
      </c>
      <c r="F23" s="97">
        <v>2319.71</v>
      </c>
      <c r="G23" s="97">
        <v>4155.3599999999997</v>
      </c>
      <c r="H23" s="97">
        <v>4721.62</v>
      </c>
      <c r="I23" s="97">
        <v>4414.01</v>
      </c>
      <c r="J23" s="97">
        <v>5114.59</v>
      </c>
      <c r="K23" s="97">
        <v>4092.05</v>
      </c>
      <c r="L23" s="97">
        <v>4036.24</v>
      </c>
      <c r="M23" s="97">
        <v>4207.5</v>
      </c>
      <c r="N23" s="98">
        <v>3211</v>
      </c>
      <c r="O23" s="105">
        <f>SUM(Tabla8[[#This Row],[Gener]:[Desembre]])</f>
        <v>44260.039999999994</v>
      </c>
    </row>
    <row r="24" spans="1:15" x14ac:dyDescent="0.25">
      <c r="A24" s="108">
        <v>22</v>
      </c>
      <c r="B24" s="24" t="s">
        <v>19</v>
      </c>
      <c r="C24" s="96"/>
      <c r="D24" s="97"/>
      <c r="E24" s="97"/>
      <c r="F24" s="97"/>
      <c r="G24" s="97"/>
      <c r="H24" s="97"/>
      <c r="I24" s="97"/>
      <c r="J24" s="97"/>
      <c r="K24" s="97">
        <v>0</v>
      </c>
      <c r="L24" s="97">
        <v>0</v>
      </c>
      <c r="M24" s="97"/>
      <c r="N24" s="98"/>
      <c r="O24" s="105">
        <v>0</v>
      </c>
    </row>
    <row r="25" spans="1:15" x14ac:dyDescent="0.25">
      <c r="A25" s="108">
        <v>23</v>
      </c>
      <c r="B25" s="24" t="s">
        <v>43</v>
      </c>
      <c r="C25" s="96"/>
      <c r="D25" s="97"/>
      <c r="E25" s="97"/>
      <c r="F25" s="97"/>
      <c r="G25" s="97"/>
      <c r="H25" s="97"/>
      <c r="I25" s="97"/>
      <c r="J25" s="97"/>
      <c r="K25" s="97">
        <v>0</v>
      </c>
      <c r="L25" s="97">
        <v>0</v>
      </c>
      <c r="M25" s="97"/>
      <c r="N25" s="98"/>
      <c r="O25" s="105">
        <v>0</v>
      </c>
    </row>
    <row r="26" spans="1:15" x14ac:dyDescent="0.25">
      <c r="A26" s="108">
        <v>24</v>
      </c>
      <c r="B26" s="24" t="s">
        <v>44</v>
      </c>
      <c r="C26" s="96">
        <f>34660+33620</f>
        <v>68280</v>
      </c>
      <c r="D26" s="97">
        <f>1740+31920+31780</f>
        <v>65440</v>
      </c>
      <c r="E26" s="97">
        <v>90040</v>
      </c>
      <c r="F26" s="97">
        <f>38080+56240</f>
        <v>94320</v>
      </c>
      <c r="G26" s="97">
        <f>44000+70560</f>
        <v>114560</v>
      </c>
      <c r="H26" s="97">
        <f>42580+61440</f>
        <v>104020</v>
      </c>
      <c r="I26" s="97">
        <v>90220</v>
      </c>
      <c r="J26" s="97">
        <f>36840+58980</f>
        <v>95820</v>
      </c>
      <c r="K26" s="97">
        <v>84930</v>
      </c>
      <c r="L26" s="97">
        <v>78720</v>
      </c>
      <c r="M26" s="97">
        <v>78340</v>
      </c>
      <c r="N26" s="98">
        <v>80500</v>
      </c>
      <c r="O26" s="105">
        <f>SUM(Tabla8[[#This Row],[Gener]:[Desembre]])</f>
        <v>1045190</v>
      </c>
    </row>
    <row r="27" spans="1:15" x14ac:dyDescent="0.25">
      <c r="A27" s="108">
        <v>25</v>
      </c>
      <c r="B27" s="24" t="s">
        <v>20</v>
      </c>
      <c r="C27" s="96"/>
      <c r="D27" s="97"/>
      <c r="E27" s="97"/>
      <c r="F27" s="97"/>
      <c r="G27" s="97"/>
      <c r="H27" s="97"/>
      <c r="I27" s="97"/>
      <c r="J27" s="97"/>
      <c r="K27" s="97">
        <v>0</v>
      </c>
      <c r="L27" s="97">
        <v>0</v>
      </c>
      <c r="M27" s="97"/>
      <c r="N27" s="98"/>
      <c r="O27" s="105">
        <v>0</v>
      </c>
    </row>
    <row r="28" spans="1:15" x14ac:dyDescent="0.25">
      <c r="A28" s="108">
        <v>26</v>
      </c>
      <c r="B28" s="24" t="s">
        <v>45</v>
      </c>
      <c r="C28" s="96">
        <v>30060</v>
      </c>
      <c r="D28" s="97">
        <v>28400</v>
      </c>
      <c r="E28" s="97">
        <v>37960</v>
      </c>
      <c r="F28" s="97">
        <v>38000</v>
      </c>
      <c r="G28" s="97">
        <v>44000</v>
      </c>
      <c r="H28" s="97">
        <v>38980</v>
      </c>
      <c r="I28" s="97">
        <v>36340</v>
      </c>
      <c r="J28" s="97">
        <v>35740</v>
      </c>
      <c r="K28" s="97">
        <v>35120</v>
      </c>
      <c r="L28" s="97">
        <v>35280</v>
      </c>
      <c r="M28" s="97">
        <v>35760</v>
      </c>
      <c r="N28" s="98">
        <v>35300</v>
      </c>
      <c r="O28" s="105">
        <f>SUM(Tabla8[[#This Row],[Gener]:[Desembre]])</f>
        <v>430940</v>
      </c>
    </row>
    <row r="29" spans="1:15" x14ac:dyDescent="0.25">
      <c r="A29" s="108">
        <v>27</v>
      </c>
      <c r="B29" s="24" t="s">
        <v>46</v>
      </c>
      <c r="C29" s="96"/>
      <c r="D29" s="97"/>
      <c r="E29" s="97"/>
      <c r="F29" s="97"/>
      <c r="G29" s="97"/>
      <c r="H29" s="97"/>
      <c r="I29" s="97"/>
      <c r="J29" s="97"/>
      <c r="K29" s="97">
        <v>0</v>
      </c>
      <c r="L29" s="97">
        <v>0</v>
      </c>
      <c r="M29" s="97"/>
      <c r="N29" s="98"/>
      <c r="O29" s="105">
        <f>SUM(Tabla8[[#This Row],[Gener]:[Desembre]])</f>
        <v>0</v>
      </c>
    </row>
    <row r="30" spans="1:15" x14ac:dyDescent="0.25">
      <c r="A30" s="108">
        <v>28</v>
      </c>
      <c r="B30" s="24" t="s">
        <v>47</v>
      </c>
      <c r="C30" s="96"/>
      <c r="D30" s="97"/>
      <c r="E30" s="97"/>
      <c r="F30" s="97"/>
      <c r="G30" s="97"/>
      <c r="H30" s="97"/>
      <c r="I30" s="97"/>
      <c r="J30" s="97"/>
      <c r="K30" s="97">
        <v>0</v>
      </c>
      <c r="L30" s="97">
        <v>21160</v>
      </c>
      <c r="M30" s="97">
        <v>22760</v>
      </c>
      <c r="N30" s="98">
        <v>23040</v>
      </c>
      <c r="O30" s="105">
        <v>0</v>
      </c>
    </row>
    <row r="31" spans="1:15" x14ac:dyDescent="0.25">
      <c r="A31" s="108">
        <v>29</v>
      </c>
      <c r="B31" s="24" t="s">
        <v>48</v>
      </c>
      <c r="C31" s="96">
        <v>304.16000000000003</v>
      </c>
      <c r="D31" s="97">
        <v>216.76</v>
      </c>
      <c r="E31" s="97">
        <v>540.01</v>
      </c>
      <c r="F31" s="97">
        <v>441.07</v>
      </c>
      <c r="G31" s="97">
        <v>597.70000000000005</v>
      </c>
      <c r="H31" s="97">
        <v>1072.21</v>
      </c>
      <c r="I31" s="97">
        <v>82.96</v>
      </c>
      <c r="J31" s="97">
        <v>1175.02</v>
      </c>
      <c r="K31" s="97">
        <v>626.66</v>
      </c>
      <c r="L31" s="97">
        <v>1480.66</v>
      </c>
      <c r="M31" s="97">
        <v>739.85</v>
      </c>
      <c r="N31" s="98">
        <v>1255</v>
      </c>
      <c r="O31" s="105">
        <f>SUM(Tabla8[[#This Row],[Gener]:[Desembre]])</f>
        <v>8532.06</v>
      </c>
    </row>
    <row r="32" spans="1:15" x14ac:dyDescent="0.25">
      <c r="A32" s="108">
        <v>30</v>
      </c>
      <c r="B32" s="24" t="s">
        <v>50</v>
      </c>
      <c r="C32" s="96">
        <v>59220</v>
      </c>
      <c r="D32" s="97">
        <f>1700+55780</f>
        <v>57480</v>
      </c>
      <c r="E32" s="97">
        <v>66300</v>
      </c>
      <c r="F32" s="97">
        <v>61760</v>
      </c>
      <c r="G32" s="97">
        <v>67960</v>
      </c>
      <c r="H32" s="97">
        <v>65720</v>
      </c>
      <c r="I32" s="97">
        <v>63680</v>
      </c>
      <c r="J32" s="97">
        <v>61520</v>
      </c>
      <c r="K32" s="97">
        <v>63500</v>
      </c>
      <c r="L32" s="97">
        <v>61220</v>
      </c>
      <c r="M32" s="97">
        <v>60400</v>
      </c>
      <c r="N32" s="98">
        <v>61740</v>
      </c>
      <c r="O32" s="105">
        <f>SUM(Tabla8[[#This Row],[Gener]:[Desembre]])</f>
        <v>750500</v>
      </c>
    </row>
    <row r="33" spans="1:15" x14ac:dyDescent="0.25">
      <c r="A33" s="108">
        <v>31</v>
      </c>
      <c r="B33" s="24" t="s">
        <v>51</v>
      </c>
      <c r="C33" s="96">
        <v>8680</v>
      </c>
      <c r="D33" s="97">
        <v>8740</v>
      </c>
      <c r="E33" s="97">
        <v>10640</v>
      </c>
      <c r="F33" s="97">
        <v>9560</v>
      </c>
      <c r="G33" s="97">
        <v>10060</v>
      </c>
      <c r="H33" s="97">
        <v>9680</v>
      </c>
      <c r="I33" s="97">
        <v>8780</v>
      </c>
      <c r="J33" s="97">
        <v>8200</v>
      </c>
      <c r="K33" s="97">
        <v>8520</v>
      </c>
      <c r="L33" s="97">
        <v>7940</v>
      </c>
      <c r="M33" s="97">
        <v>8840</v>
      </c>
      <c r="N33" s="98">
        <v>9360</v>
      </c>
      <c r="O33" s="105">
        <f>SUM(Tabla8[[#This Row],[Gener]:[Desembre]])</f>
        <v>109000</v>
      </c>
    </row>
    <row r="34" spans="1:15" x14ac:dyDescent="0.25">
      <c r="A34" s="108">
        <v>32</v>
      </c>
      <c r="B34" s="24" t="s">
        <v>52</v>
      </c>
      <c r="C34" s="96"/>
      <c r="D34" s="97"/>
      <c r="E34" s="97"/>
      <c r="F34" s="97"/>
      <c r="G34" s="97"/>
      <c r="H34" s="97"/>
      <c r="I34" s="97"/>
      <c r="J34" s="97"/>
      <c r="K34" s="97">
        <v>0</v>
      </c>
      <c r="L34" s="97">
        <v>0</v>
      </c>
      <c r="M34" s="97"/>
      <c r="N34" s="98"/>
      <c r="O34" s="105">
        <v>0</v>
      </c>
    </row>
    <row r="35" spans="1:15" x14ac:dyDescent="0.25">
      <c r="A35" s="108">
        <v>33</v>
      </c>
      <c r="B35" s="24" t="s">
        <v>21</v>
      </c>
      <c r="C35" s="96"/>
      <c r="D35" s="97"/>
      <c r="E35" s="97"/>
      <c r="F35" s="97"/>
      <c r="G35" s="97"/>
      <c r="H35" s="97"/>
      <c r="I35" s="97"/>
      <c r="J35" s="97"/>
      <c r="K35" s="97">
        <v>0</v>
      </c>
      <c r="L35" s="97">
        <v>0</v>
      </c>
      <c r="M35" s="97"/>
      <c r="N35" s="98"/>
      <c r="O35" s="105">
        <v>0</v>
      </c>
    </row>
    <row r="36" spans="1:15" x14ac:dyDescent="0.25">
      <c r="A36" s="108">
        <v>34</v>
      </c>
      <c r="B36" s="24" t="s">
        <v>22</v>
      </c>
      <c r="C36" s="96">
        <v>9861.75</v>
      </c>
      <c r="D36" s="97">
        <v>9014.64</v>
      </c>
      <c r="E36" s="97">
        <v>13223.06</v>
      </c>
      <c r="F36" s="97">
        <f>12445.53+593.94</f>
        <v>13039.470000000001</v>
      </c>
      <c r="G36" s="97">
        <v>14597.87</v>
      </c>
      <c r="H36" s="97">
        <v>12511.3</v>
      </c>
      <c r="I36" s="97">
        <v>12730.55</v>
      </c>
      <c r="J36" s="97">
        <v>12483.07</v>
      </c>
      <c r="K36" s="97">
        <v>10635.67</v>
      </c>
      <c r="L36" s="97">
        <v>11444.37</v>
      </c>
      <c r="M36" s="97">
        <v>12052.93</v>
      </c>
      <c r="N36" s="98">
        <v>11243</v>
      </c>
      <c r="O36" s="105">
        <f>SUM(Tabla8[[#This Row],[Gener]:[Desembre]])</f>
        <v>142837.68</v>
      </c>
    </row>
    <row r="37" spans="1:15" x14ac:dyDescent="0.25">
      <c r="A37" s="108">
        <v>35</v>
      </c>
      <c r="B37" s="24" t="s">
        <v>23</v>
      </c>
      <c r="C37" s="96"/>
      <c r="D37" s="97"/>
      <c r="E37" s="97"/>
      <c r="F37" s="97"/>
      <c r="G37" s="97"/>
      <c r="H37" s="97"/>
      <c r="I37" s="97"/>
      <c r="J37" s="97"/>
      <c r="K37" s="97">
        <v>0</v>
      </c>
      <c r="L37" s="97">
        <v>0</v>
      </c>
      <c r="M37" s="97"/>
      <c r="N37" s="98"/>
      <c r="O37" s="105">
        <v>0</v>
      </c>
    </row>
    <row r="38" spans="1:15" x14ac:dyDescent="0.25">
      <c r="A38" s="108">
        <v>36</v>
      </c>
      <c r="B38" s="24" t="s">
        <v>24</v>
      </c>
      <c r="C38" s="96">
        <v>2878.25</v>
      </c>
      <c r="D38" s="97">
        <v>3085.36</v>
      </c>
      <c r="E38" s="97">
        <v>3556.94</v>
      </c>
      <c r="F38" s="97">
        <f>3014.47+186.06</f>
        <v>3200.5299999999997</v>
      </c>
      <c r="G38" s="97">
        <v>4102.13</v>
      </c>
      <c r="H38" s="97">
        <v>3608.7</v>
      </c>
      <c r="I38" s="97">
        <v>3369.45</v>
      </c>
      <c r="J38" s="97">
        <v>3816.93</v>
      </c>
      <c r="K38" s="97">
        <v>2684.33</v>
      </c>
      <c r="L38" s="97">
        <v>3255.63</v>
      </c>
      <c r="M38" s="97">
        <v>3487.07</v>
      </c>
      <c r="N38" s="98">
        <v>3297</v>
      </c>
      <c r="O38" s="105">
        <f>SUM(Tabla8[[#This Row],[Gener]:[Desembre]])</f>
        <v>40342.32</v>
      </c>
    </row>
    <row r="39" spans="1:15" x14ac:dyDescent="0.25">
      <c r="A39" s="108">
        <v>37</v>
      </c>
      <c r="B39" s="24" t="s">
        <v>25</v>
      </c>
      <c r="C39" s="96"/>
      <c r="D39" s="97"/>
      <c r="E39" s="97"/>
      <c r="F39" s="97"/>
      <c r="G39" s="97"/>
      <c r="H39" s="97"/>
      <c r="I39" s="97"/>
      <c r="J39" s="97"/>
      <c r="K39" s="97">
        <v>0</v>
      </c>
      <c r="L39" s="97">
        <v>0</v>
      </c>
      <c r="M39" s="97"/>
      <c r="N39" s="98"/>
      <c r="O39" s="105">
        <v>0</v>
      </c>
    </row>
    <row r="40" spans="1:15" x14ac:dyDescent="0.25">
      <c r="A40" s="108">
        <v>38</v>
      </c>
      <c r="B40" s="24" t="s">
        <v>5</v>
      </c>
      <c r="C40" s="96"/>
      <c r="D40" s="97"/>
      <c r="E40" s="97"/>
      <c r="F40" s="97"/>
      <c r="G40" s="97"/>
      <c r="H40" s="97"/>
      <c r="I40" s="97"/>
      <c r="J40" s="97"/>
      <c r="K40" s="97">
        <v>0</v>
      </c>
      <c r="L40" s="97">
        <v>0</v>
      </c>
      <c r="M40" s="97"/>
      <c r="N40" s="98"/>
      <c r="O40" s="105">
        <v>0</v>
      </c>
    </row>
    <row r="41" spans="1:15" x14ac:dyDescent="0.25">
      <c r="A41" s="108">
        <v>39</v>
      </c>
      <c r="B41" s="24" t="s">
        <v>6</v>
      </c>
      <c r="C41" s="96">
        <v>23520</v>
      </c>
      <c r="D41" s="97">
        <v>22220</v>
      </c>
      <c r="E41" s="97">
        <v>27240</v>
      </c>
      <c r="F41" s="97">
        <v>27000</v>
      </c>
      <c r="G41" s="97">
        <f>1460+29120</f>
        <v>30580</v>
      </c>
      <c r="H41" s="97">
        <v>32480</v>
      </c>
      <c r="I41" s="97">
        <v>35000</v>
      </c>
      <c r="J41" s="97">
        <v>36560</v>
      </c>
      <c r="K41" s="97">
        <v>29180</v>
      </c>
      <c r="L41" s="97">
        <v>26480</v>
      </c>
      <c r="M41" s="97">
        <v>26580</v>
      </c>
      <c r="N41" s="98">
        <v>25120</v>
      </c>
      <c r="O41" s="105">
        <f>SUM(Tabla8[[#This Row],[Gener]:[Desembre]])</f>
        <v>341960</v>
      </c>
    </row>
    <row r="42" spans="1:15" x14ac:dyDescent="0.25">
      <c r="A42" s="108">
        <v>40</v>
      </c>
      <c r="B42" s="24" t="s">
        <v>8</v>
      </c>
      <c r="C42" s="96"/>
      <c r="D42" s="97"/>
      <c r="E42" s="97"/>
      <c r="F42" s="97"/>
      <c r="G42" s="97"/>
      <c r="H42" s="97"/>
      <c r="I42" s="97"/>
      <c r="J42" s="97"/>
      <c r="K42" s="97">
        <v>0</v>
      </c>
      <c r="L42" s="97">
        <v>0</v>
      </c>
      <c r="M42" s="97"/>
      <c r="N42" s="98"/>
      <c r="O42" s="105">
        <v>0</v>
      </c>
    </row>
    <row r="43" spans="1:15" ht="15.75" thickBot="1" x14ac:dyDescent="0.3">
      <c r="A43" s="109">
        <v>41</v>
      </c>
      <c r="B43" s="25" t="s">
        <v>49</v>
      </c>
      <c r="C43" s="99"/>
      <c r="D43" s="100"/>
      <c r="E43" s="100"/>
      <c r="F43" s="100"/>
      <c r="G43" s="100"/>
      <c r="H43" s="100"/>
      <c r="I43" s="100"/>
      <c r="J43" s="100"/>
      <c r="K43" s="100">
        <v>0</v>
      </c>
      <c r="L43" s="100">
        <v>0</v>
      </c>
      <c r="M43" s="100"/>
      <c r="N43" s="101"/>
      <c r="O43" s="106">
        <f>SUM(Tabla8[[#This Row],[Gener]:[Desembre]])</f>
        <v>0</v>
      </c>
    </row>
    <row r="44" spans="1:15" s="4" customFormat="1" ht="15.75" thickBot="1" x14ac:dyDescent="0.3">
      <c r="A44" s="92"/>
      <c r="B44" s="23" t="s">
        <v>61</v>
      </c>
      <c r="C44" s="16">
        <f t="shared" ref="C44:N44" si="0">SUBTOTAL(109,C4:C43)</f>
        <v>430299.99999999994</v>
      </c>
      <c r="D44" s="17">
        <f t="shared" si="0"/>
        <v>424100</v>
      </c>
      <c r="E44" s="17">
        <f t="shared" si="0"/>
        <v>513779.99</v>
      </c>
      <c r="F44" s="17">
        <f t="shared" si="0"/>
        <v>507720</v>
      </c>
      <c r="G44" s="17">
        <f t="shared" si="0"/>
        <v>571600.01</v>
      </c>
      <c r="H44" s="17">
        <f t="shared" si="0"/>
        <v>545060</v>
      </c>
      <c r="I44" s="17">
        <f t="shared" si="0"/>
        <v>514319.99</v>
      </c>
      <c r="J44" s="17">
        <f>SUBTOTAL(109,J4:J43)</f>
        <v>483699.99</v>
      </c>
      <c r="K44" s="17">
        <f t="shared" si="0"/>
        <v>476529.99999999994</v>
      </c>
      <c r="L44" s="17">
        <f t="shared" si="0"/>
        <v>495819.99999999994</v>
      </c>
      <c r="M44" s="17">
        <f t="shared" si="0"/>
        <v>492960</v>
      </c>
      <c r="N44" s="17">
        <f t="shared" si="0"/>
        <v>491620</v>
      </c>
      <c r="O44" s="27">
        <f>SUM(Tabla8[[#This Row],[Gener]:[Desembre]])</f>
        <v>5947509.9800000004</v>
      </c>
    </row>
    <row r="45" spans="1:15" ht="15.75" thickBot="1" x14ac:dyDescent="0.3">
      <c r="A45" s="92"/>
      <c r="B45" s="28" t="s">
        <v>60</v>
      </c>
      <c r="C45" s="29">
        <v>440780.04</v>
      </c>
      <c r="D45" s="30">
        <v>433039.99</v>
      </c>
      <c r="E45" s="30">
        <v>478840</v>
      </c>
      <c r="F45" s="30">
        <v>534160</v>
      </c>
      <c r="G45" s="30">
        <v>574699.99999999988</v>
      </c>
      <c r="H45" s="30">
        <v>578519.99999999988</v>
      </c>
      <c r="I45" s="30">
        <v>560240.01000000013</v>
      </c>
      <c r="J45" s="30">
        <v>538654</v>
      </c>
      <c r="K45" s="30">
        <v>508699.99</v>
      </c>
      <c r="L45" s="30">
        <v>486720</v>
      </c>
      <c r="M45" s="30">
        <v>479620</v>
      </c>
      <c r="N45" s="31">
        <v>459880</v>
      </c>
      <c r="O45" s="32">
        <f>SUM(Tabla8[[#This Row],[Gener]:[Desembre]])</f>
        <v>6073854.0300000003</v>
      </c>
    </row>
    <row r="46" spans="1:15" ht="15.75" thickBot="1" x14ac:dyDescent="0.3">
      <c r="A46" s="92"/>
      <c r="B46" s="68" t="s">
        <v>57</v>
      </c>
      <c r="C46" s="102">
        <f t="shared" ref="C46:O46" si="1">(C44/C45)-1</f>
        <v>-2.3776121985923049E-2</v>
      </c>
      <c r="D46" s="103">
        <f t="shared" si="1"/>
        <v>-2.0644721518675468E-2</v>
      </c>
      <c r="E46" s="103">
        <f t="shared" si="1"/>
        <v>7.2967985130732549E-2</v>
      </c>
      <c r="F46" s="103">
        <f t="shared" si="1"/>
        <v>-4.9498277669612123E-2</v>
      </c>
      <c r="G46" s="103">
        <f t="shared" si="1"/>
        <v>-5.3941012702277691E-3</v>
      </c>
      <c r="H46" s="103">
        <f t="shared" si="1"/>
        <v>-5.7837239853418931E-2</v>
      </c>
      <c r="I46" s="103">
        <f t="shared" si="1"/>
        <v>-8.1964906433583895E-2</v>
      </c>
      <c r="J46" s="103">
        <f t="shared" si="1"/>
        <v>-0.10202098192903053</v>
      </c>
      <c r="K46" s="103">
        <f t="shared" si="1"/>
        <v>-6.3239612015718816E-2</v>
      </c>
      <c r="L46" s="103">
        <f t="shared" si="1"/>
        <v>1.869658119658113E-2</v>
      </c>
      <c r="M46" s="103">
        <f t="shared" si="1"/>
        <v>2.7813685834619184E-2</v>
      </c>
      <c r="N46" s="103">
        <f t="shared" si="1"/>
        <v>6.9018004696877355E-2</v>
      </c>
      <c r="O46" s="118">
        <f t="shared" si="1"/>
        <v>-2.0801298380889732E-2</v>
      </c>
    </row>
    <row r="47" spans="1:15" x14ac:dyDescent="0.25">
      <c r="B47" s="18" t="s">
        <v>67</v>
      </c>
    </row>
    <row r="49" spans="15:16" x14ac:dyDescent="0.25">
      <c r="O49" s="2"/>
    </row>
    <row r="50" spans="15:16" x14ac:dyDescent="0.25">
      <c r="O50" s="2"/>
      <c r="P50" s="21"/>
    </row>
    <row r="51" spans="15:16" x14ac:dyDescent="0.25">
      <c r="P51" s="21"/>
    </row>
    <row r="52" spans="15:16" x14ac:dyDescent="0.25">
      <c r="P52" s="21"/>
    </row>
    <row r="53" spans="15:16" x14ac:dyDescent="0.25">
      <c r="P53" s="21"/>
    </row>
    <row r="54" spans="15:16" x14ac:dyDescent="0.25">
      <c r="P54" s="21"/>
    </row>
    <row r="55" spans="15:16" x14ac:dyDescent="0.25">
      <c r="P55" s="21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heetProtection password="C3D2" sheet="1" objects="1" scenarios="1"/>
  <sortState ref="B4:O45">
    <sortCondition ref="B4:B45"/>
  </sortState>
  <conditionalFormatting sqref="C46:O46">
    <cfRule type="cellIs" dxfId="18" priority="1" operator="lessThan">
      <formula>0</formula>
    </cfRule>
  </conditionalFormatting>
  <pageMargins left="0.90475000000000005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PAPER I CARTRÓ</vt:lpstr>
      <vt:lpstr>PAPER I CARTRÓ COMERCIAL</vt:lpstr>
      <vt:lpstr>ENVASOS</vt:lpstr>
      <vt:lpstr>VIDRE</vt:lpstr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2023-05-24T16:31:55Z</cp:lastPrinted>
  <dcterms:created xsi:type="dcterms:W3CDTF">2014-04-10T06:59:07Z</dcterms:created>
  <dcterms:modified xsi:type="dcterms:W3CDTF">2023-10-11T14:05:27Z</dcterms:modified>
</cp:coreProperties>
</file>