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httpdocs\"/>
    </mc:Choice>
  </mc:AlternateContent>
  <bookViews>
    <workbookView xWindow="-90" yWindow="-90" windowWidth="11910" windowHeight="7680" tabRatio="809"/>
  </bookViews>
  <sheets>
    <sheet name="RESUM 2021" sheetId="19" r:id="rId1"/>
    <sheet name="PAPER I CARTRÓ" sheetId="10" r:id="rId2"/>
    <sheet name="PAPER I CARTRÓ PORTA A PORTA" sheetId="20" r:id="rId3"/>
    <sheet name="ENVASOS" sheetId="12" r:id="rId4"/>
    <sheet name="VIDRE" sheetId="13" r:id="rId5"/>
    <sheet name="RMO" sheetId="6" r:id="rId6"/>
    <sheet name="FORM" sheetId="5" r:id="rId7"/>
    <sheet name="VERD" sheetId="16" r:id="rId8"/>
    <sheet name="Voluminosos" sheetId="18" r:id="rId9"/>
    <sheet name="MENSUAL DEIXALLERIES" sheetId="22" r:id="rId10"/>
    <sheet name="DEIXALLERIES" sheetId="21" r:id="rId11"/>
    <sheet name="RESUM DEIXALLERIES" sheetId="23" r:id="rId12"/>
    <sheet name="Hoja1" sheetId="24" r:id="rId13"/>
  </sheets>
  <externalReferences>
    <externalReference r:id="rId14"/>
  </externalReferences>
  <definedNames>
    <definedName name="llInstal" localSheetId="10">#REF!</definedName>
    <definedName name="llInstal" localSheetId="2">#REF!</definedName>
    <definedName name="llInstal" localSheetId="11">#REF!</definedName>
    <definedName name="llInstal">#REF!</definedName>
    <definedName name="llInstalCodi" localSheetId="10">#REF!</definedName>
    <definedName name="llInstalCodi" localSheetId="2">#REF!</definedName>
    <definedName name="llInstalCodi" localSheetId="11">#REF!</definedName>
    <definedName name="llInstalCodi">#REF!</definedName>
    <definedName name="llTitulars" localSheetId="10">#REF!</definedName>
    <definedName name="llTitulars" localSheetId="2">#REF!</definedName>
    <definedName name="llTitulars" localSheetId="11">#REF!</definedName>
    <definedName name="llTitulars">#REF!</definedName>
    <definedName name="llTitularsCodi" localSheetId="10">#REF!</definedName>
    <definedName name="llTitularsCodi" localSheetId="2">#REF!</definedName>
    <definedName name="llTitularsCodi" localSheetId="11">#REF!</definedName>
    <definedName name="llTitularsCodi">#REF!</definedName>
  </definedNames>
  <calcPr calcId="162913"/>
</workbook>
</file>

<file path=xl/calcChain.xml><?xml version="1.0" encoding="utf-8"?>
<calcChain xmlns="http://schemas.openxmlformats.org/spreadsheetml/2006/main">
  <c r="AB21" i="22" l="1"/>
  <c r="P29" i="21" l="1"/>
  <c r="AA20" i="22"/>
  <c r="K27" i="20" l="1"/>
  <c r="F2" i="24"/>
  <c r="F3" i="24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1" i="24"/>
  <c r="J28" i="10" l="1"/>
  <c r="J26" i="5" l="1"/>
  <c r="J21" i="5"/>
  <c r="J22" i="13" l="1"/>
  <c r="J20" i="13"/>
  <c r="O9" i="16" l="1"/>
  <c r="H21" i="6"/>
  <c r="H26" i="5"/>
  <c r="H21" i="5"/>
  <c r="H22" i="13"/>
  <c r="H20" i="13"/>
  <c r="AA5" i="22" l="1"/>
  <c r="B17" i="22"/>
  <c r="G26" i="5"/>
  <c r="G21" i="5"/>
  <c r="G41" i="5"/>
  <c r="G26" i="6"/>
  <c r="G21" i="6"/>
  <c r="G23" i="6"/>
  <c r="G21" i="12" l="1"/>
  <c r="G19" i="12"/>
  <c r="G26" i="12"/>
  <c r="G41" i="12"/>
  <c r="G24" i="12"/>
  <c r="G20" i="12"/>
  <c r="G13" i="12"/>
  <c r="G20" i="13" l="1"/>
  <c r="G22" i="13"/>
  <c r="F22" i="13" l="1"/>
  <c r="F20" i="13"/>
  <c r="F26" i="6"/>
  <c r="F41" i="6"/>
  <c r="F38" i="6"/>
  <c r="F36" i="6"/>
  <c r="F21" i="6"/>
  <c r="F21" i="20"/>
  <c r="F14" i="20"/>
  <c r="F26" i="5"/>
  <c r="F21" i="5"/>
  <c r="F38" i="5"/>
  <c r="F36" i="5"/>
  <c r="F21" i="12" l="1"/>
  <c r="F19" i="12"/>
  <c r="F26" i="12"/>
  <c r="F41" i="12"/>
  <c r="F38" i="12"/>
  <c r="F24" i="12"/>
  <c r="F20" i="12"/>
  <c r="F13" i="12"/>
  <c r="O45" i="18"/>
  <c r="O45" i="16"/>
  <c r="E21" i="5" l="1"/>
  <c r="E15" i="5"/>
  <c r="E22" i="13" l="1"/>
  <c r="E20" i="13"/>
  <c r="E21" i="13"/>
  <c r="AB58" i="22"/>
  <c r="D22" i="13" l="1"/>
  <c r="D20" i="13"/>
  <c r="D21" i="6"/>
  <c r="D32" i="5"/>
  <c r="D26" i="5"/>
  <c r="D21" i="5"/>
  <c r="D19" i="5"/>
  <c r="D19" i="12"/>
  <c r="D26" i="12"/>
  <c r="D41" i="12"/>
  <c r="D24" i="12"/>
  <c r="D21" i="12"/>
  <c r="D20" i="12"/>
  <c r="D15" i="12"/>
  <c r="D13" i="12"/>
  <c r="D6" i="12"/>
  <c r="C22" i="13"/>
  <c r="C20" i="13"/>
  <c r="C21" i="6"/>
  <c r="AA46" i="22" l="1"/>
  <c r="I67" i="22"/>
  <c r="I75" i="22"/>
  <c r="I65" i="22"/>
  <c r="I66" i="22"/>
  <c r="I74" i="22"/>
  <c r="I72" i="22"/>
  <c r="I68" i="22"/>
  <c r="I71" i="22"/>
  <c r="I70" i="22"/>
  <c r="D76" i="22"/>
  <c r="G76" i="22"/>
  <c r="H76" i="22"/>
  <c r="C76" i="22"/>
  <c r="I69" i="22"/>
  <c r="I73" i="22"/>
  <c r="E76" i="22"/>
  <c r="B76" i="22"/>
  <c r="F76" i="22"/>
  <c r="I64" i="22"/>
  <c r="AA57" i="22"/>
  <c r="AA53" i="22"/>
  <c r="H58" i="22"/>
  <c r="AD10" i="21" s="1"/>
  <c r="B58" i="22"/>
  <c r="AD4" i="21" s="1"/>
  <c r="E58" i="22"/>
  <c r="AD7" i="21" s="1"/>
  <c r="L58" i="22"/>
  <c r="AD14" i="21" s="1"/>
  <c r="N58" i="22"/>
  <c r="AD16" i="21" s="1"/>
  <c r="P58" i="22"/>
  <c r="AD18" i="21" s="1"/>
  <c r="S58" i="22"/>
  <c r="AD21" i="21" s="1"/>
  <c r="AA49" i="22"/>
  <c r="F58" i="22"/>
  <c r="AD8" i="21" s="1"/>
  <c r="G58" i="22"/>
  <c r="AD9" i="21" s="1"/>
  <c r="I58" i="22"/>
  <c r="AD11" i="21" s="1"/>
  <c r="J58" i="22"/>
  <c r="AD12" i="21" s="1"/>
  <c r="K58" i="22"/>
  <c r="AD13" i="21" s="1"/>
  <c r="M58" i="22"/>
  <c r="AD15" i="21" s="1"/>
  <c r="O58" i="22"/>
  <c r="AD17" i="21" s="1"/>
  <c r="Q58" i="22"/>
  <c r="AD19" i="21" s="1"/>
  <c r="R58" i="22"/>
  <c r="AD20" i="21" s="1"/>
  <c r="T58" i="22"/>
  <c r="AD22" i="21" s="1"/>
  <c r="U58" i="22"/>
  <c r="AD23" i="21" s="1"/>
  <c r="V58" i="22"/>
  <c r="AD24" i="21" s="1"/>
  <c r="W58" i="22"/>
  <c r="AD25" i="21" s="1"/>
  <c r="X58" i="22"/>
  <c r="AD26" i="21" s="1"/>
  <c r="Y58" i="22"/>
  <c r="AD27" i="21" s="1"/>
  <c r="Z58" i="22"/>
  <c r="AD28" i="21" s="1"/>
  <c r="AA47" i="22"/>
  <c r="AA51" i="22"/>
  <c r="AA50" i="22"/>
  <c r="AA55" i="22"/>
  <c r="D58" i="22"/>
  <c r="AD6" i="21" s="1"/>
  <c r="AA54" i="22"/>
  <c r="AA48" i="22"/>
  <c r="AA56" i="22"/>
  <c r="AA52" i="22"/>
  <c r="C58" i="22"/>
  <c r="AD5" i="21" s="1"/>
  <c r="C21" i="20"/>
  <c r="C14" i="20"/>
  <c r="N45" i="10"/>
  <c r="M45" i="10"/>
  <c r="L45" i="10"/>
  <c r="K45" i="10"/>
  <c r="J45" i="10"/>
  <c r="I45" i="10"/>
  <c r="H45" i="10"/>
  <c r="G45" i="10"/>
  <c r="F45" i="10"/>
  <c r="E45" i="10"/>
  <c r="D45" i="10"/>
  <c r="C45" i="10"/>
  <c r="C26" i="5"/>
  <c r="C21" i="5"/>
  <c r="C21" i="12"/>
  <c r="C19" i="12"/>
  <c r="C26" i="12"/>
  <c r="C41" i="12"/>
  <c r="C24" i="12"/>
  <c r="C20" i="12"/>
  <c r="C15" i="12"/>
  <c r="C13" i="12"/>
  <c r="N13" i="19"/>
  <c r="AA58" i="22" l="1"/>
  <c r="I76" i="22"/>
  <c r="D8" i="23" s="1"/>
  <c r="D9" i="23" s="1"/>
  <c r="R29" i="21"/>
  <c r="AA29" i="21" l="1"/>
  <c r="J17" i="22"/>
  <c r="X17" i="22"/>
  <c r="Q17" i="22" l="1"/>
  <c r="AA13" i="22"/>
  <c r="AA9" i="22"/>
  <c r="Y17" i="22"/>
  <c r="D17" i="22"/>
  <c r="F17" i="22"/>
  <c r="L17" i="22"/>
  <c r="M17" i="22"/>
  <c r="O17" i="22"/>
  <c r="R17" i="22"/>
  <c r="T17" i="22"/>
  <c r="U17" i="22"/>
  <c r="W17" i="22"/>
  <c r="C17" i="22"/>
  <c r="G17" i="22"/>
  <c r="AA14" i="22"/>
  <c r="AA10" i="22"/>
  <c r="I17" i="22"/>
  <c r="Z17" i="22"/>
  <c r="AA7" i="22"/>
  <c r="K17" i="22"/>
  <c r="P17" i="22"/>
  <c r="V17" i="22"/>
  <c r="N17" i="22"/>
  <c r="AA6" i="22"/>
  <c r="S17" i="22"/>
  <c r="AA15" i="22"/>
  <c r="AA8" i="22"/>
  <c r="AA12" i="22"/>
  <c r="AA11" i="22"/>
  <c r="AA16" i="22"/>
  <c r="E17" i="22"/>
  <c r="H17" i="22"/>
  <c r="AA17" i="22" l="1"/>
  <c r="AA21" i="22" s="1"/>
  <c r="B29" i="21" l="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Q29" i="21"/>
  <c r="S29" i="21"/>
  <c r="T29" i="21"/>
  <c r="U29" i="21"/>
  <c r="V29" i="21"/>
  <c r="W29" i="21"/>
  <c r="X29" i="21"/>
  <c r="Y29" i="21"/>
  <c r="AB29" i="21"/>
  <c r="F45" i="13"/>
  <c r="F47" i="13" s="1"/>
  <c r="E22" i="19" s="1"/>
  <c r="H30" i="21" l="1"/>
  <c r="M30" i="21"/>
  <c r="N4" i="19" l="1"/>
  <c r="AD29" i="21"/>
  <c r="C8" i="23" s="1"/>
  <c r="C9" i="23" s="1"/>
  <c r="J44" i="5" l="1"/>
  <c r="N12" i="19"/>
  <c r="I36" i="19" l="1"/>
  <c r="I37" i="19" s="1"/>
  <c r="O46" i="13"/>
  <c r="O45" i="12"/>
  <c r="N44" i="18" l="1"/>
  <c r="N46" i="18" s="1"/>
  <c r="M44" i="18"/>
  <c r="M46" i="18" s="1"/>
  <c r="L44" i="18"/>
  <c r="L46" i="18" s="1"/>
  <c r="K44" i="18"/>
  <c r="K46" i="18" s="1"/>
  <c r="J44" i="18"/>
  <c r="J46" i="18" s="1"/>
  <c r="I44" i="18"/>
  <c r="I46" i="18" s="1"/>
  <c r="H44" i="18"/>
  <c r="H46" i="18" s="1"/>
  <c r="G44" i="18"/>
  <c r="G46" i="18" s="1"/>
  <c r="F44" i="18"/>
  <c r="F46" i="18" s="1"/>
  <c r="E44" i="18"/>
  <c r="E46" i="18" s="1"/>
  <c r="D44" i="18"/>
  <c r="D46" i="18" s="1"/>
  <c r="C44" i="18"/>
  <c r="C46" i="18" s="1"/>
  <c r="O36" i="18"/>
  <c r="O26" i="18"/>
  <c r="O4" i="18"/>
  <c r="N44" i="16"/>
  <c r="N46" i="16" s="1"/>
  <c r="M44" i="16"/>
  <c r="M46" i="16" s="1"/>
  <c r="L44" i="16"/>
  <c r="L46" i="16" s="1"/>
  <c r="K44" i="16"/>
  <c r="K46" i="16" s="1"/>
  <c r="J44" i="16"/>
  <c r="J46" i="16" s="1"/>
  <c r="I44" i="16"/>
  <c r="I46" i="16" s="1"/>
  <c r="H44" i="16"/>
  <c r="H46" i="16" s="1"/>
  <c r="G44" i="16"/>
  <c r="G46" i="16" s="1"/>
  <c r="F44" i="16"/>
  <c r="F46" i="16" s="1"/>
  <c r="E44" i="16"/>
  <c r="E46" i="16" s="1"/>
  <c r="D44" i="16"/>
  <c r="D46" i="16" s="1"/>
  <c r="C44" i="16"/>
  <c r="C46" i="16" s="1"/>
  <c r="O39" i="16"/>
  <c r="O32" i="16"/>
  <c r="O4" i="16"/>
  <c r="O45" i="5"/>
  <c r="N44" i="5"/>
  <c r="M36" i="19" s="1"/>
  <c r="M44" i="5"/>
  <c r="L36" i="19" s="1"/>
  <c r="L44" i="5"/>
  <c r="K36" i="19" s="1"/>
  <c r="K44" i="5"/>
  <c r="J36" i="19" s="1"/>
  <c r="I44" i="5"/>
  <c r="H36" i="19" s="1"/>
  <c r="H44" i="5"/>
  <c r="G36" i="19" s="1"/>
  <c r="G44" i="5"/>
  <c r="F36" i="19" s="1"/>
  <c r="F44" i="5"/>
  <c r="E36" i="19" s="1"/>
  <c r="E44" i="5"/>
  <c r="D36" i="19" s="1"/>
  <c r="D44" i="5"/>
  <c r="C36" i="19" s="1"/>
  <c r="O43" i="5"/>
  <c r="O41" i="5"/>
  <c r="O38" i="5"/>
  <c r="O36" i="5"/>
  <c r="O33" i="5"/>
  <c r="O32" i="5"/>
  <c r="O31" i="5"/>
  <c r="O29" i="5"/>
  <c r="O28" i="5"/>
  <c r="O26" i="5"/>
  <c r="O23" i="5"/>
  <c r="O21" i="5"/>
  <c r="O19" i="5"/>
  <c r="O15" i="5"/>
  <c r="O10" i="5"/>
  <c r="O9" i="5"/>
  <c r="O7" i="5"/>
  <c r="O4" i="5"/>
  <c r="O45" i="6"/>
  <c r="N44" i="6"/>
  <c r="M44" i="6"/>
  <c r="L44" i="6"/>
  <c r="K44" i="6"/>
  <c r="J44" i="6"/>
  <c r="I44" i="6"/>
  <c r="H44" i="6"/>
  <c r="G29" i="19" s="1"/>
  <c r="G44" i="6"/>
  <c r="F44" i="6"/>
  <c r="E44" i="6"/>
  <c r="D29" i="19" s="1"/>
  <c r="D44" i="6"/>
  <c r="C29" i="19" s="1"/>
  <c r="O43" i="6"/>
  <c r="O41" i="6"/>
  <c r="O38" i="6"/>
  <c r="O36" i="6"/>
  <c r="O35" i="6"/>
  <c r="O33" i="6"/>
  <c r="O32" i="6"/>
  <c r="O31" i="6"/>
  <c r="O29" i="6"/>
  <c r="O28" i="6"/>
  <c r="O26" i="6"/>
  <c r="O24" i="6"/>
  <c r="O23" i="6"/>
  <c r="O21" i="6"/>
  <c r="O19" i="6"/>
  <c r="O10" i="6"/>
  <c r="O9" i="6"/>
  <c r="O7" i="6"/>
  <c r="C44" i="6"/>
  <c r="B29" i="19" s="1"/>
  <c r="O48" i="13"/>
  <c r="N45" i="13"/>
  <c r="N47" i="13" s="1"/>
  <c r="M22" i="19" s="1"/>
  <c r="M45" i="13"/>
  <c r="M47" i="13" s="1"/>
  <c r="L22" i="19" s="1"/>
  <c r="L45" i="13"/>
  <c r="L47" i="13" s="1"/>
  <c r="K22" i="19" s="1"/>
  <c r="K45" i="13"/>
  <c r="K47" i="13" s="1"/>
  <c r="J22" i="19" s="1"/>
  <c r="J45" i="13"/>
  <c r="J47" i="13" s="1"/>
  <c r="I22" i="19" s="1"/>
  <c r="I45" i="13"/>
  <c r="I47" i="13" s="1"/>
  <c r="H22" i="19" s="1"/>
  <c r="H45" i="13"/>
  <c r="H47" i="13" s="1"/>
  <c r="G22" i="19" s="1"/>
  <c r="G45" i="13"/>
  <c r="G47" i="13" s="1"/>
  <c r="F22" i="19" s="1"/>
  <c r="E23" i="19"/>
  <c r="E45" i="13"/>
  <c r="E47" i="13" s="1"/>
  <c r="D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C45" i="13"/>
  <c r="C47" i="13" s="1"/>
  <c r="O14" i="13"/>
  <c r="O13" i="13"/>
  <c r="O12" i="13"/>
  <c r="O11" i="13"/>
  <c r="O10" i="13"/>
  <c r="O9" i="13"/>
  <c r="O8" i="13"/>
  <c r="O7" i="13"/>
  <c r="O6" i="13"/>
  <c r="O5" i="13"/>
  <c r="O47" i="12"/>
  <c r="N44" i="12"/>
  <c r="N46" i="12" s="1"/>
  <c r="M44" i="12"/>
  <c r="M46" i="12" s="1"/>
  <c r="L44" i="12"/>
  <c r="L46" i="12" s="1"/>
  <c r="K44" i="12"/>
  <c r="K46" i="12" s="1"/>
  <c r="J44" i="12"/>
  <c r="J46" i="12" s="1"/>
  <c r="I44" i="12"/>
  <c r="I46" i="12" s="1"/>
  <c r="H44" i="12"/>
  <c r="H46" i="12" s="1"/>
  <c r="G44" i="12"/>
  <c r="G46" i="12" s="1"/>
  <c r="F44" i="12"/>
  <c r="F46" i="12" s="1"/>
  <c r="E15" i="19" s="1"/>
  <c r="E44" i="12"/>
  <c r="E46" i="12" s="1"/>
  <c r="D15" i="19" s="1"/>
  <c r="D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46" i="20"/>
  <c r="N45" i="20"/>
  <c r="M45" i="20"/>
  <c r="L8" i="19" s="1"/>
  <c r="L45" i="20"/>
  <c r="K8" i="19" s="1"/>
  <c r="K45" i="20"/>
  <c r="J8" i="19" s="1"/>
  <c r="J45" i="20"/>
  <c r="I8" i="19" s="1"/>
  <c r="I45" i="20"/>
  <c r="H8" i="19" s="1"/>
  <c r="H45" i="20"/>
  <c r="G8" i="19" s="1"/>
  <c r="G45" i="20"/>
  <c r="F8" i="19" s="1"/>
  <c r="F45" i="20"/>
  <c r="E45" i="20"/>
  <c r="D8" i="19" s="1"/>
  <c r="D45" i="20"/>
  <c r="C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6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N33" i="19"/>
  <c r="N32" i="19"/>
  <c r="N26" i="19"/>
  <c r="N25" i="19"/>
  <c r="N19" i="19"/>
  <c r="N18" i="19"/>
  <c r="N11" i="19"/>
  <c r="N5" i="19"/>
  <c r="M15" i="19" l="1"/>
  <c r="M16" i="19" s="1"/>
  <c r="J29" i="19"/>
  <c r="J30" i="19" s="1"/>
  <c r="C47" i="20"/>
  <c r="B8" i="19"/>
  <c r="F15" i="19"/>
  <c r="F16" i="19" s="1"/>
  <c r="K29" i="19"/>
  <c r="K30" i="19" s="1"/>
  <c r="G15" i="19"/>
  <c r="G16" i="19" s="1"/>
  <c r="L29" i="19"/>
  <c r="L30" i="19" s="1"/>
  <c r="H15" i="19"/>
  <c r="H16" i="19" s="1"/>
  <c r="E29" i="19"/>
  <c r="E30" i="19" s="1"/>
  <c r="M29" i="19"/>
  <c r="M30" i="19" s="1"/>
  <c r="K15" i="19"/>
  <c r="K16" i="19" s="1"/>
  <c r="L15" i="19"/>
  <c r="L16" i="19" s="1"/>
  <c r="F47" i="20"/>
  <c r="E8" i="19"/>
  <c r="E9" i="19" s="1"/>
  <c r="N47" i="20"/>
  <c r="M8" i="19"/>
  <c r="M9" i="19" s="1"/>
  <c r="I15" i="19"/>
  <c r="I16" i="19" s="1"/>
  <c r="B22" i="19"/>
  <c r="B23" i="19" s="1"/>
  <c r="F29" i="19"/>
  <c r="F30" i="19" s="1"/>
  <c r="J15" i="19"/>
  <c r="J16" i="19" s="1"/>
  <c r="H29" i="19"/>
  <c r="H30" i="19" s="1"/>
  <c r="I29" i="19"/>
  <c r="I30" i="19" s="1"/>
  <c r="D22" i="19"/>
  <c r="D23" i="19" s="1"/>
  <c r="D47" i="20"/>
  <c r="C8" i="19"/>
  <c r="M47" i="20"/>
  <c r="J9" i="19"/>
  <c r="G30" i="19"/>
  <c r="H9" i="19"/>
  <c r="L9" i="19"/>
  <c r="F9" i="19"/>
  <c r="H37" i="19"/>
  <c r="L37" i="19"/>
  <c r="G37" i="19"/>
  <c r="K37" i="19"/>
  <c r="F37" i="19"/>
  <c r="J37" i="19"/>
  <c r="M37" i="19"/>
  <c r="C46" i="6"/>
  <c r="B30" i="19"/>
  <c r="I23" i="19"/>
  <c r="M23" i="19"/>
  <c r="H23" i="19"/>
  <c r="L23" i="19"/>
  <c r="G23" i="19"/>
  <c r="K23" i="19"/>
  <c r="F23" i="19"/>
  <c r="J23" i="19"/>
  <c r="G9" i="19"/>
  <c r="L47" i="10"/>
  <c r="K9" i="19"/>
  <c r="I9" i="19"/>
  <c r="E37" i="19"/>
  <c r="E16" i="19"/>
  <c r="E46" i="6"/>
  <c r="D30" i="19"/>
  <c r="E47" i="10"/>
  <c r="D9" i="19"/>
  <c r="E46" i="5"/>
  <c r="D37" i="19"/>
  <c r="E48" i="12"/>
  <c r="D16" i="19"/>
  <c r="D46" i="6"/>
  <c r="C30" i="19"/>
  <c r="D47" i="10"/>
  <c r="D46" i="5"/>
  <c r="C37" i="19"/>
  <c r="M46" i="5"/>
  <c r="J47" i="20"/>
  <c r="I47" i="20"/>
  <c r="H47" i="20"/>
  <c r="L47" i="20"/>
  <c r="K47" i="20"/>
  <c r="H47" i="10"/>
  <c r="M47" i="10"/>
  <c r="L48" i="12"/>
  <c r="O15" i="13"/>
  <c r="O45" i="13" s="1"/>
  <c r="O49" i="13" s="1"/>
  <c r="O4" i="6"/>
  <c r="N46" i="6"/>
  <c r="N47" i="10"/>
  <c r="I48" i="12"/>
  <c r="M48" i="12"/>
  <c r="I49" i="13"/>
  <c r="M49" i="13"/>
  <c r="C44" i="5"/>
  <c r="B36" i="19" s="1"/>
  <c r="N36" i="19" s="1"/>
  <c r="J46" i="5"/>
  <c r="N46" i="5"/>
  <c r="O44" i="18"/>
  <c r="O46" i="18" s="1"/>
  <c r="K48" i="12"/>
  <c r="K49" i="13"/>
  <c r="I47" i="10"/>
  <c r="C44" i="12"/>
  <c r="C46" i="12" s="1"/>
  <c r="B15" i="19" s="1"/>
  <c r="H48" i="12"/>
  <c r="D49" i="13"/>
  <c r="D47" i="13"/>
  <c r="H49" i="13"/>
  <c r="L49" i="13"/>
  <c r="I46" i="5"/>
  <c r="J47" i="10"/>
  <c r="K47" i="10"/>
  <c r="J48" i="12"/>
  <c r="N48" i="12"/>
  <c r="J49" i="13"/>
  <c r="N49" i="13"/>
  <c r="K46" i="5"/>
  <c r="H46" i="5"/>
  <c r="L46" i="5"/>
  <c r="G47" i="20"/>
  <c r="G49" i="13"/>
  <c r="G47" i="10"/>
  <c r="G46" i="5"/>
  <c r="G48" i="12"/>
  <c r="F49" i="13"/>
  <c r="F46" i="6"/>
  <c r="J46" i="6"/>
  <c r="G46" i="6"/>
  <c r="I46" i="6"/>
  <c r="M46" i="6"/>
  <c r="H46" i="6"/>
  <c r="L46" i="6"/>
  <c r="K46" i="6"/>
  <c r="F47" i="10"/>
  <c r="N34" i="19"/>
  <c r="F46" i="5"/>
  <c r="F48" i="12"/>
  <c r="O44" i="12"/>
  <c r="E49" i="13"/>
  <c r="C49" i="13"/>
  <c r="D46" i="12"/>
  <c r="E47" i="20"/>
  <c r="O44" i="16"/>
  <c r="O46" i="16" s="1"/>
  <c r="O44" i="6"/>
  <c r="O46" i="6" s="1"/>
  <c r="O45" i="10"/>
  <c r="O47" i="10" s="1"/>
  <c r="O45" i="20"/>
  <c r="O47" i="20" s="1"/>
  <c r="N8" i="19" l="1"/>
  <c r="N29" i="19"/>
  <c r="C22" i="19"/>
  <c r="N22" i="19" s="1"/>
  <c r="C9" i="19"/>
  <c r="C15" i="19"/>
  <c r="N15" i="19" s="1"/>
  <c r="O47" i="13"/>
  <c r="C46" i="5"/>
  <c r="B37" i="19"/>
  <c r="C48" i="12"/>
  <c r="B16" i="19"/>
  <c r="C47" i="10"/>
  <c r="B9" i="19"/>
  <c r="N21" i="19"/>
  <c r="N28" i="19"/>
  <c r="O44" i="5"/>
  <c r="O46" i="5" s="1"/>
  <c r="N6" i="19"/>
  <c r="N20" i="19"/>
  <c r="N27" i="19"/>
  <c r="O46" i="12"/>
  <c r="O48" i="12" s="1"/>
  <c r="D48" i="12"/>
  <c r="N30" i="19" l="1"/>
  <c r="C23" i="19"/>
  <c r="N23" i="19"/>
  <c r="C16" i="19"/>
  <c r="N35" i="19"/>
  <c r="N37" i="19" s="1"/>
  <c r="N14" i="19"/>
  <c r="N16" i="19" s="1"/>
  <c r="N7" i="19"/>
  <c r="N9" i="19" s="1"/>
  <c r="AC21" i="21" l="1"/>
  <c r="AC11" i="21" l="1"/>
  <c r="AC22" i="21"/>
  <c r="AC18" i="21"/>
  <c r="AC13" i="21" l="1"/>
  <c r="AC19" i="21"/>
  <c r="AC10" i="21"/>
  <c r="AC25" i="21" l="1"/>
  <c r="AC5" i="21"/>
  <c r="AC14" i="21"/>
  <c r="AC7" i="21"/>
  <c r="AC20" i="21"/>
  <c r="AC23" i="21"/>
  <c r="AC6" i="21"/>
  <c r="AC26" i="21"/>
  <c r="AC28" i="21"/>
  <c r="AC16" i="21"/>
  <c r="AC15" i="21"/>
  <c r="AC24" i="21"/>
  <c r="AC17" i="21"/>
  <c r="AC12" i="21"/>
  <c r="AC27" i="21"/>
  <c r="AC9" i="21"/>
  <c r="AC8" i="21" l="1"/>
  <c r="AC4" i="21" l="1"/>
  <c r="Z29" i="21"/>
  <c r="AC29" i="21" l="1"/>
  <c r="B8" i="23" s="1"/>
  <c r="B9" i="23" s="1"/>
  <c r="Z30" i="21"/>
</calcChain>
</file>

<file path=xl/comments1.xml><?xml version="1.0" encoding="utf-8"?>
<comments xmlns="http://schemas.openxmlformats.org/spreadsheetml/2006/main">
  <authors>
    <author>Mònica Llorente Gutierrez</author>
  </authors>
  <commentList>
    <comment ref="AA21" authorId="0" shapeId="0">
      <text>
        <r>
          <rPr>
            <b/>
            <sz val="9"/>
            <color indexed="81"/>
            <rFont val="Tahoma"/>
            <family val="2"/>
          </rPr>
          <t>No estan incloses les tones de vidre d'envasos ni envasos lleugers (iglú verd i groc)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<sst xmlns="http://schemas.openxmlformats.org/spreadsheetml/2006/main" count="714" uniqueCount="151">
  <si>
    <t>Bigues i Riells</t>
  </si>
  <si>
    <t>Caldes de Montbui</t>
  </si>
  <si>
    <t>Campins</t>
  </si>
  <si>
    <t>Canovelles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</si>
  <si>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</si>
  <si>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</si>
  <si>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</si>
  <si>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</si>
  <si>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</si>
  <si>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</si>
  <si>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</si>
  <si>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</si>
  <si>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</si>
  <si>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</si>
  <si>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</si>
  <si>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</si>
  <si>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</si>
  <si>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</si>
  <si>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</si>
  <si>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</si>
  <si>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Sant Celoni</t>
  </si>
  <si>
    <t>Tagamanent</t>
  </si>
  <si>
    <t>Vallgorguina</t>
  </si>
  <si>
    <t>Vallromanes</t>
  </si>
  <si>
    <t>Vilalba Sasserra</t>
  </si>
  <si>
    <t>Vilanova del Vallès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</si>
  <si>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</si>
  <si>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</si>
  <si>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</si>
  <si>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</si>
  <si>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</si>
  <si>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</si>
  <si>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</si>
  <si>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</si>
  <si>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</si>
  <si>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</si>
  <si>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</si>
  <si>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</si>
  <si>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</si>
  <si>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</si>
  <si>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Franqueses del Vallès, Les</t>
  </si>
  <si>
    <t>Garriga, La</t>
  </si>
  <si>
    <t>Llagosta, La</t>
  </si>
  <si>
    <t>Roca del Vallès, La</t>
  </si>
  <si>
    <t>Sant Antoni de Vilamajor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</si>
  <si>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</si>
  <si>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</si>
  <si>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</si>
  <si>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</si>
  <si>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</si>
  <si>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</si>
  <si>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</si>
  <si>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</si>
  <si>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Àrees d'aportació i recollida Porta a porta d'Envasos</t>
  </si>
  <si>
    <t>Àrees d'aportació i recollida Porta a porta de Vidre</t>
  </si>
  <si>
    <t>Àrees d'aportació i recollida Porta a porta de RMO</t>
  </si>
  <si>
    <t>Àrees d'aportació i recollida Porta a porta de FORM</t>
  </si>
  <si>
    <t>Població</t>
  </si>
  <si>
    <t>Increment/Decrement</t>
  </si>
  <si>
    <t>Núm.</t>
  </si>
  <si>
    <t xml:space="preserve">Núm. </t>
  </si>
  <si>
    <t>Paper/Cartró</t>
  </si>
  <si>
    <t>Envasos</t>
  </si>
  <si>
    <t>Vidre</t>
  </si>
  <si>
    <t>RMO</t>
  </si>
  <si>
    <t>FORM</t>
  </si>
  <si>
    <t>Paper i Cartró - Porta a porta, Mercat i papereres</t>
  </si>
  <si>
    <t>Àrees d'aportació i recollida complementària</t>
  </si>
  <si>
    <t>Deixalleries</t>
  </si>
  <si>
    <t>TOTALS</t>
  </si>
  <si>
    <t>STA. M. DE PALAUTORDERA</t>
  </si>
  <si>
    <t>STA. EULÀLIA DE RONÇANA</t>
  </si>
  <si>
    <t>ST. FELIU DE CODINES</t>
  </si>
  <si>
    <t>ST. CELONI</t>
  </si>
  <si>
    <t>ST. ANTONI DE VILAMAJOR</t>
  </si>
  <si>
    <t>LA ROCA DEL VALLÈS</t>
  </si>
  <si>
    <t>PARETS DEL VALLÈS</t>
  </si>
  <si>
    <t>MONTORNÈS</t>
  </si>
  <si>
    <t>MONTMELÓ</t>
  </si>
  <si>
    <t>MOLLET DEL VALLÈS</t>
  </si>
  <si>
    <t>MARTORELLES</t>
  </si>
  <si>
    <t>LLINARS DEL VALLÈS</t>
  </si>
  <si>
    <t>LLIÇA DE VALL</t>
  </si>
  <si>
    <t>LLIÇA D'AMUNT</t>
  </si>
  <si>
    <t>LA LLAGOSTA</t>
  </si>
  <si>
    <t>GRANOLLERS SUD</t>
  </si>
  <si>
    <t>GRANOLLERS</t>
  </si>
  <si>
    <t>LA GARRIGA</t>
  </si>
  <si>
    <t>LES FRANQUESES</t>
  </si>
  <si>
    <t>CASTELLTERÇOL</t>
  </si>
  <si>
    <t>CARDEDEU</t>
  </si>
  <si>
    <t>CANOVELLES</t>
  </si>
  <si>
    <t>CALDES DE MONTBUI</t>
  </si>
  <si>
    <t>BIGUES I RIELLS</t>
  </si>
  <si>
    <t>L'AMETLLA DEL VALLÈS</t>
  </si>
  <si>
    <t>ROBA</t>
  </si>
  <si>
    <t>REPQ</t>
  </si>
  <si>
    <t>BATERIES</t>
  </si>
  <si>
    <t>PNEUMÀTICS</t>
  </si>
  <si>
    <t>INFORMÀTICA I TELEFONIA MÒBIL</t>
  </si>
  <si>
    <t>NEVERES</t>
  </si>
  <si>
    <t>LINEA BLANCA</t>
  </si>
  <si>
    <t>PANTALLES</t>
  </si>
  <si>
    <t>FERRALLA ELECTRÒNICA</t>
  </si>
  <si>
    <t>TÒNER</t>
  </si>
  <si>
    <t>CD</t>
  </si>
  <si>
    <t>MINERAL</t>
  </si>
  <si>
    <t>VEGETAL</t>
  </si>
  <si>
    <t>PILES</t>
  </si>
  <si>
    <t>FLUORESCENTS</t>
  </si>
  <si>
    <t>ENVASOS LLEUGERS</t>
  </si>
  <si>
    <t>D'ENVASOS</t>
  </si>
  <si>
    <t>PLA</t>
  </si>
  <si>
    <t>VOLUMINOSOS</t>
  </si>
  <si>
    <t>RUNA</t>
  </si>
  <si>
    <t>PODA</t>
  </si>
  <si>
    <t>PAPER</t>
  </si>
  <si>
    <t>FUSTA</t>
  </si>
  <si>
    <t>FERRALLA</t>
  </si>
  <si>
    <t>OLI</t>
  </si>
  <si>
    <t>VIDRE</t>
  </si>
  <si>
    <t>ST. FOST DE CAMPSENTELLES</t>
  </si>
  <si>
    <t>VALLGORGUINA</t>
  </si>
  <si>
    <t>VALLROMANES</t>
  </si>
  <si>
    <t>TOTAL MENSUAL 2020</t>
  </si>
  <si>
    <t>MATERIALS</t>
  </si>
  <si>
    <t>Usuaris/es</t>
  </si>
  <si>
    <t>Usuaris/es Deixalleria Mòbil</t>
  </si>
  <si>
    <t>Mes</t>
  </si>
  <si>
    <t>RADIOGRAFIES</t>
  </si>
  <si>
    <t>Tòner</t>
  </si>
  <si>
    <t>USUARIS/ES</t>
  </si>
  <si>
    <t>CÀPSULES</t>
  </si>
  <si>
    <t>Càpsules</t>
  </si>
  <si>
    <t>% 21-20</t>
  </si>
  <si>
    <t>TOTAL MENSUAL 2021</t>
  </si>
  <si>
    <t>PAPER I CARTRÓ - 2021</t>
  </si>
  <si>
    <t>ENVASOS - 2021</t>
  </si>
  <si>
    <t>VIDRE - 2021</t>
  </si>
  <si>
    <t>RMO - 2021</t>
  </si>
  <si>
    <t>ORGÀNICA - 2021</t>
  </si>
  <si>
    <t>VERD - 2021</t>
  </si>
  <si>
    <t>VOLUMINOSOS - 2021</t>
  </si>
  <si>
    <t>ANY 2021</t>
  </si>
  <si>
    <t>MENSUAL DEIXALLERIES 2021</t>
  </si>
  <si>
    <t>DEIXALLERIA MÒBIL</t>
  </si>
  <si>
    <t>MATERIALS RECOLLITS (TN)</t>
  </si>
  <si>
    <t>MENSUAL 2020</t>
  </si>
  <si>
    <t>USUARIS/ES 2020</t>
  </si>
  <si>
    <t>Matalassos</t>
  </si>
  <si>
    <t>MATALASSSOS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</si>
</sst>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&quot;    &quot;;#,##0.00&quot;    &quot;;&quot;-&quot;#&quot;    &quot;;@&quot; &quot;"/>
    <numFmt numFmtId="166" formatCode="#,##0.00&quot; &quot;[$€-403];[Red]&quot;-&quot;#,##0.00&quot; &quot;[$€-403]"/>
    <numFmt numFmtId="167" formatCode="0.0%"/>
    <numFmt numFmtId="168" formatCode="#,##0.00\ _€"/>
    <numFmt numFmtId="169" formatCode="0.000"/>
    <numFmt numFmtId="170" formatCode="#,##0.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DAEEF3"/>
        <bgColor rgb="FFDAEEF3"/>
      </patternFill>
    </fill>
  </fills>
  <borders count="1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165" fontId="13" fillId="0" borderId="0"/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5" fillId="0" borderId="0"/>
    <xf numFmtId="0" fontId="15" fillId="0" borderId="0"/>
    <xf numFmtId="166" fontId="15" fillId="0" borderId="0"/>
    <xf numFmtId="166" fontId="15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437">
    <xf numFmtId="0" fontId="0" fillId="0" borderId="0" xfId="0"/>
    <xf numFmtId="0" fontId="5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3" fontId="4" fillId="0" borderId="18" xfId="0" applyNumberFormat="1" applyFont="1" applyBorder="1" applyAlignment="1" applyProtection="1">
      <alignment horizontal="center"/>
      <protection hidden="1"/>
    </xf>
    <xf numFmtId="3" fontId="4" fillId="0" borderId="19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left"/>
      <protection hidden="1"/>
    </xf>
    <xf numFmtId="3" fontId="7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3" fontId="0" fillId="0" borderId="0" xfId="0" applyNumberFormat="1" applyProtection="1"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0" fontId="4" fillId="0" borderId="13" xfId="0" applyFont="1" applyBorder="1" applyProtection="1">
      <protection hidden="1"/>
    </xf>
    <xf numFmtId="0" fontId="3" fillId="0" borderId="2" xfId="0" applyNumberFormat="1" applyFont="1" applyFill="1" applyBorder="1" applyAlignment="1" applyProtection="1">
      <alignment horizontal="left"/>
      <protection hidden="1"/>
    </xf>
    <xf numFmtId="0" fontId="3" fillId="0" borderId="3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0" fontId="3" fillId="0" borderId="1" xfId="0" applyNumberFormat="1" applyFont="1" applyFill="1" applyBorder="1" applyAlignment="1" applyProtection="1">
      <alignment horizontal="left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0" borderId="30" xfId="0" applyNumberFormat="1" applyFont="1" applyFill="1" applyBorder="1" applyAlignment="1" applyProtection="1">
      <alignment horizontal="left"/>
      <protection hidden="1"/>
    </xf>
    <xf numFmtId="3" fontId="7" fillId="0" borderId="18" xfId="0" applyNumberFormat="1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 applyProtection="1">
      <alignment horizontal="center"/>
      <protection hidden="1"/>
    </xf>
    <xf numFmtId="3" fontId="7" fillId="0" borderId="21" xfId="0" applyNumberFormat="1" applyFont="1" applyBorder="1" applyAlignment="1" applyProtection="1">
      <alignment horizontal="center"/>
      <protection hidden="1"/>
    </xf>
    <xf numFmtId="3" fontId="7" fillId="0" borderId="30" xfId="0" applyNumberFormat="1" applyFont="1" applyBorder="1" applyAlignment="1" applyProtection="1">
      <alignment horizontal="center"/>
      <protection hidden="1"/>
    </xf>
    <xf numFmtId="3" fontId="0" fillId="0" borderId="34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3" fontId="7" fillId="0" borderId="36" xfId="0" applyNumberFormat="1" applyFont="1" applyBorder="1" applyAlignment="1" applyProtection="1">
      <alignment horizontal="center"/>
      <protection hidden="1"/>
    </xf>
    <xf numFmtId="3" fontId="4" fillId="0" borderId="26" xfId="0" applyNumberFormat="1" applyFont="1" applyBorder="1" applyAlignment="1" applyProtection="1">
      <alignment horizontal="center"/>
      <protection hidden="1"/>
    </xf>
    <xf numFmtId="3" fontId="7" fillId="0" borderId="37" xfId="0" applyNumberFormat="1" applyFont="1" applyBorder="1" applyAlignment="1" applyProtection="1">
      <alignment horizontal="center"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3" fontId="7" fillId="0" borderId="39" xfId="0" applyNumberFormat="1" applyFont="1" applyBorder="1" applyAlignment="1" applyProtection="1">
      <alignment horizontal="center"/>
      <protection hidden="1"/>
    </xf>
    <xf numFmtId="3" fontId="4" fillId="0" borderId="25" xfId="0" applyNumberFormat="1" applyFont="1" applyBorder="1" applyAlignment="1" applyProtection="1">
      <alignment horizontal="center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7" fillId="0" borderId="40" xfId="0" applyNumberFormat="1" applyFont="1" applyBorder="1" applyAlignment="1" applyProtection="1">
      <alignment horizontal="center"/>
      <protection hidden="1"/>
    </xf>
    <xf numFmtId="0" fontId="0" fillId="0" borderId="38" xfId="0" applyFill="1" applyBorder="1" applyAlignment="1" applyProtection="1">
      <alignment horizontal="left"/>
      <protection hidden="1"/>
    </xf>
    <xf numFmtId="0" fontId="0" fillId="0" borderId="14" xfId="0" applyFont="1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0" fontId="7" fillId="0" borderId="39" xfId="0" applyNumberFormat="1" applyFont="1" applyFill="1" applyBorder="1" applyAlignment="1" applyProtection="1">
      <alignment horizontal="left"/>
      <protection hidden="1"/>
    </xf>
    <xf numFmtId="0" fontId="4" fillId="0" borderId="39" xfId="0" applyFont="1" applyBorder="1" applyProtection="1"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48" xfId="0" applyNumberFormat="1" applyBorder="1" applyAlignment="1" applyProtection="1">
      <alignment horizontal="center"/>
      <protection hidden="1"/>
    </xf>
    <xf numFmtId="3" fontId="0" fillId="0" borderId="49" xfId="0" applyNumberFormat="1" applyBorder="1" applyAlignment="1" applyProtection="1">
      <alignment horizontal="center"/>
      <protection hidden="1"/>
    </xf>
    <xf numFmtId="3" fontId="0" fillId="0" borderId="50" xfId="0" applyNumberFormat="1" applyBorder="1" applyAlignment="1" applyProtection="1">
      <alignment horizontal="center"/>
      <protection hidden="1"/>
    </xf>
    <xf numFmtId="3" fontId="0" fillId="0" borderId="51" xfId="0" applyNumberFormat="1" applyBorder="1" applyAlignment="1" applyProtection="1">
      <alignment horizontal="center"/>
      <protection hidden="1"/>
    </xf>
    <xf numFmtId="0" fontId="11" fillId="0" borderId="0" xfId="0" applyFont="1"/>
    <xf numFmtId="0" fontId="12" fillId="0" borderId="0" xfId="0" applyFont="1"/>
    <xf numFmtId="0" fontId="0" fillId="0" borderId="0" xfId="0" applyFont="1"/>
    <xf numFmtId="3" fontId="0" fillId="0" borderId="0" xfId="0" applyNumberFormat="1" applyAlignment="1">
      <alignment horizontal="center"/>
    </xf>
    <xf numFmtId="3" fontId="12" fillId="0" borderId="0" xfId="0" applyNumberFormat="1" applyFont="1" applyAlignment="1">
      <alignment horizontal="center"/>
    </xf>
    <xf numFmtId="2" fontId="0" fillId="0" borderId="0" xfId="0" applyNumberFormat="1"/>
    <xf numFmtId="0" fontId="11" fillId="0" borderId="0" xfId="12" applyFont="1"/>
    <xf numFmtId="0" fontId="13" fillId="0" borderId="0" xfId="12"/>
    <xf numFmtId="0" fontId="12" fillId="0" borderId="0" xfId="12" applyFont="1"/>
    <xf numFmtId="2" fontId="13" fillId="0" borderId="0" xfId="12" applyNumberFormat="1"/>
    <xf numFmtId="0" fontId="13" fillId="0" borderId="0" xfId="12" applyFont="1"/>
    <xf numFmtId="3" fontId="13" fillId="0" borderId="0" xfId="12" applyNumberFormat="1" applyAlignment="1">
      <alignment horizontal="center"/>
    </xf>
    <xf numFmtId="3" fontId="12" fillId="0" borderId="0" xfId="12" applyNumberFormat="1" applyFont="1" applyAlignment="1">
      <alignment horizontal="center"/>
    </xf>
    <xf numFmtId="3" fontId="0" fillId="0" borderId="53" xfId="0" applyNumberFormat="1" applyBorder="1" applyAlignment="1" applyProtection="1">
      <alignment horizontal="center"/>
      <protection hidden="1"/>
    </xf>
    <xf numFmtId="3" fontId="0" fillId="0" borderId="54" xfId="0" applyNumberFormat="1" applyBorder="1" applyAlignment="1" applyProtection="1">
      <alignment horizontal="center"/>
      <protection hidden="1"/>
    </xf>
    <xf numFmtId="3" fontId="0" fillId="0" borderId="55" xfId="0" applyNumberFormat="1" applyBorder="1" applyAlignment="1" applyProtection="1">
      <alignment horizontal="center"/>
      <protection hidden="1"/>
    </xf>
    <xf numFmtId="0" fontId="7" fillId="0" borderId="57" xfId="0" applyNumberFormat="1" applyFont="1" applyFill="1" applyBorder="1" applyAlignment="1">
      <alignment horizontal="left"/>
    </xf>
    <xf numFmtId="3" fontId="7" fillId="0" borderId="58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0" fontId="4" fillId="2" borderId="39" xfId="0" applyFont="1" applyFill="1" applyBorder="1"/>
    <xf numFmtId="3" fontId="4" fillId="2" borderId="58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/>
    </xf>
    <xf numFmtId="3" fontId="8" fillId="0" borderId="60" xfId="0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 applyProtection="1">
      <alignment horizontal="left"/>
      <protection hidden="1"/>
    </xf>
    <xf numFmtId="9" fontId="0" fillId="0" borderId="0" xfId="11" applyFont="1" applyAlignment="1" applyProtection="1">
      <alignment horizontal="center"/>
      <protection hidden="1"/>
    </xf>
    <xf numFmtId="167" fontId="16" fillId="0" borderId="23" xfId="11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4" fillId="0" borderId="13" xfId="0" applyNumberFormat="1" applyFont="1" applyFill="1" applyBorder="1" applyAlignment="1" applyProtection="1">
      <alignment horizontal="left"/>
      <protection hidden="1"/>
    </xf>
    <xf numFmtId="167" fontId="16" fillId="0" borderId="61" xfId="11" applyNumberFormat="1" applyFont="1" applyBorder="1" applyAlignment="1" applyProtection="1">
      <alignment horizontal="center"/>
      <protection hidden="1"/>
    </xf>
    <xf numFmtId="0" fontId="4" fillId="4" borderId="13" xfId="0" applyNumberFormat="1" applyFont="1" applyFill="1" applyBorder="1" applyAlignment="1">
      <alignment horizontal="left"/>
    </xf>
    <xf numFmtId="167" fontId="16" fillId="4" borderId="62" xfId="11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 applyProtection="1">
      <alignment horizontal="left"/>
      <protection hidden="1"/>
    </xf>
    <xf numFmtId="3" fontId="0" fillId="0" borderId="64" xfId="0" applyNumberFormat="1" applyBorder="1" applyAlignment="1" applyProtection="1">
      <alignment horizontal="center"/>
      <protection hidden="1"/>
    </xf>
    <xf numFmtId="3" fontId="4" fillId="0" borderId="32" xfId="0" applyNumberFormat="1" applyFont="1" applyFill="1" applyBorder="1" applyAlignment="1" applyProtection="1">
      <alignment horizontal="center"/>
      <protection hidden="1"/>
    </xf>
    <xf numFmtId="3" fontId="0" fillId="0" borderId="6" xfId="0" applyNumberFormat="1" applyFill="1" applyBorder="1" applyAlignment="1" applyProtection="1">
      <alignment horizontal="center"/>
      <protection hidden="1"/>
    </xf>
    <xf numFmtId="3" fontId="0" fillId="0" borderId="23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left"/>
      <protection hidden="1"/>
    </xf>
    <xf numFmtId="3" fontId="0" fillId="0" borderId="65" xfId="0" applyNumberFormat="1" applyBorder="1" applyAlignment="1" applyProtection="1">
      <alignment horizontal="center"/>
      <protection hidden="1"/>
    </xf>
    <xf numFmtId="3" fontId="0" fillId="0" borderId="66" xfId="0" applyNumberFormat="1" applyBorder="1" applyAlignment="1" applyProtection="1">
      <alignment horizontal="center"/>
      <protection hidden="1"/>
    </xf>
    <xf numFmtId="3" fontId="0" fillId="0" borderId="67" xfId="0" applyNumberForma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left"/>
      <protection hidden="1"/>
    </xf>
    <xf numFmtId="0" fontId="0" fillId="0" borderId="69" xfId="0" applyFont="1" applyFill="1" applyBorder="1" applyAlignment="1" applyProtection="1">
      <alignment horizontal="left"/>
      <protection hidden="1"/>
    </xf>
    <xf numFmtId="0" fontId="0" fillId="0" borderId="69" xfId="0" applyFill="1" applyBorder="1" applyAlignment="1" applyProtection="1">
      <alignment horizontal="left"/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3" fontId="0" fillId="0" borderId="14" xfId="0" applyNumberFormat="1" applyFont="1" applyBorder="1" applyAlignment="1" applyProtection="1">
      <alignment horizontal="center"/>
      <protection hidden="1"/>
    </xf>
    <xf numFmtId="0" fontId="0" fillId="0" borderId="70" xfId="0" applyFill="1" applyBorder="1" applyAlignment="1" applyProtection="1">
      <alignment horizontal="left"/>
      <protection hidden="1"/>
    </xf>
    <xf numFmtId="3" fontId="0" fillId="0" borderId="52" xfId="0" applyNumberFormat="1" applyBorder="1" applyAlignment="1" applyProtection="1">
      <alignment horizontal="center"/>
      <protection hidden="1"/>
    </xf>
    <xf numFmtId="0" fontId="0" fillId="0" borderId="72" xfId="0" applyFill="1" applyBorder="1" applyAlignment="1" applyProtection="1">
      <alignment horizontal="left"/>
      <protection hidden="1"/>
    </xf>
    <xf numFmtId="0" fontId="0" fillId="0" borderId="73" xfId="0" applyFont="1" applyFill="1" applyBorder="1" applyAlignment="1" applyProtection="1">
      <alignment horizontal="left"/>
      <protection hidden="1"/>
    </xf>
    <xf numFmtId="0" fontId="0" fillId="0" borderId="73" xfId="0" applyFill="1" applyBorder="1" applyAlignment="1" applyProtection="1">
      <alignment horizontal="left"/>
      <protection hidden="1"/>
    </xf>
    <xf numFmtId="3" fontId="4" fillId="0" borderId="56" xfId="0" applyNumberFormat="1" applyFon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0" fontId="3" fillId="0" borderId="24" xfId="0" applyNumberFormat="1" applyFont="1" applyFill="1" applyBorder="1" applyAlignment="1" applyProtection="1">
      <alignment horizontal="left"/>
      <protection hidden="1"/>
    </xf>
    <xf numFmtId="3" fontId="6" fillId="0" borderId="67" xfId="0" applyNumberFormat="1" applyFont="1" applyFill="1" applyBorder="1" applyAlignment="1" applyProtection="1">
      <alignment horizontal="center"/>
      <protection hidden="1"/>
    </xf>
    <xf numFmtId="3" fontId="13" fillId="0" borderId="60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 applyProtection="1">
      <alignment horizontal="center"/>
      <protection hidden="1"/>
    </xf>
    <xf numFmtId="3" fontId="3" fillId="0" borderId="4" xfId="0" applyNumberFormat="1" applyFont="1" applyFill="1" applyBorder="1" applyAlignment="1" applyProtection="1">
      <alignment horizontal="center"/>
      <protection hidden="1"/>
    </xf>
    <xf numFmtId="3" fontId="3" fillId="0" borderId="41" xfId="0" applyNumberFormat="1" applyFont="1" applyFill="1" applyBorder="1" applyAlignment="1" applyProtection="1">
      <alignment horizontal="center"/>
      <protection hidden="1"/>
    </xf>
    <xf numFmtId="3" fontId="3" fillId="0" borderId="16" xfId="0" applyNumberFormat="1" applyFont="1" applyFill="1" applyBorder="1" applyAlignment="1" applyProtection="1">
      <alignment horizontal="center"/>
      <protection hidden="1"/>
    </xf>
    <xf numFmtId="3" fontId="3" fillId="0" borderId="6" xfId="0" applyNumberFormat="1" applyFont="1" applyFill="1" applyBorder="1" applyAlignment="1" applyProtection="1">
      <alignment horizontal="center"/>
      <protection hidden="1"/>
    </xf>
    <xf numFmtId="3" fontId="3" fillId="0" borderId="7" xfId="0" applyNumberFormat="1" applyFont="1" applyFill="1" applyBorder="1" applyAlignment="1" applyProtection="1">
      <alignment horizontal="center"/>
      <protection hidden="1"/>
    </xf>
    <xf numFmtId="3" fontId="3" fillId="0" borderId="17" xfId="0" applyNumberFormat="1" applyFont="1" applyFill="1" applyBorder="1" applyAlignment="1" applyProtection="1">
      <alignment horizontal="center"/>
      <protection hidden="1"/>
    </xf>
    <xf numFmtId="3" fontId="3" fillId="0" borderId="8" xfId="0" applyNumberFormat="1" applyFont="1" applyFill="1" applyBorder="1" applyAlignment="1" applyProtection="1">
      <alignment horizontal="center"/>
      <protection hidden="1"/>
    </xf>
    <xf numFmtId="3" fontId="3" fillId="0" borderId="9" xfId="0" applyNumberFormat="1" applyFont="1" applyFill="1" applyBorder="1" applyAlignment="1" applyProtection="1">
      <alignment horizontal="center"/>
      <protection hidden="1"/>
    </xf>
    <xf numFmtId="3" fontId="12" fillId="0" borderId="39" xfId="0" applyNumberFormat="1" applyFont="1" applyBorder="1" applyAlignment="1">
      <alignment horizontal="center"/>
    </xf>
    <xf numFmtId="3" fontId="12" fillId="0" borderId="75" xfId="0" applyNumberFormat="1" applyFont="1" applyBorder="1" applyAlignment="1">
      <alignment horizontal="center"/>
    </xf>
    <xf numFmtId="3" fontId="12" fillId="0" borderId="76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0" fillId="0" borderId="13" xfId="0" applyBorder="1"/>
    <xf numFmtId="3" fontId="12" fillId="0" borderId="77" xfId="0" applyNumberFormat="1" applyFont="1" applyBorder="1" applyAlignment="1">
      <alignment horizontal="center"/>
    </xf>
    <xf numFmtId="0" fontId="13" fillId="0" borderId="56" xfId="12" applyBorder="1"/>
    <xf numFmtId="3" fontId="12" fillId="0" borderId="56" xfId="12" applyNumberFormat="1" applyFont="1" applyBorder="1" applyAlignment="1">
      <alignment horizontal="center"/>
    </xf>
    <xf numFmtId="0" fontId="12" fillId="0" borderId="13" xfId="12" applyFont="1" applyBorder="1"/>
    <xf numFmtId="3" fontId="12" fillId="0" borderId="74" xfId="12" applyNumberFormat="1" applyFont="1" applyBorder="1" applyAlignment="1">
      <alignment horizontal="center"/>
    </xf>
    <xf numFmtId="3" fontId="12" fillId="0" borderId="75" xfId="12" applyNumberFormat="1" applyFont="1" applyBorder="1" applyAlignment="1">
      <alignment horizontal="center"/>
    </xf>
    <xf numFmtId="3" fontId="12" fillId="0" borderId="13" xfId="12" applyNumberFormat="1" applyFont="1" applyBorder="1" applyAlignment="1">
      <alignment horizontal="center"/>
    </xf>
    <xf numFmtId="167" fontId="17" fillId="0" borderId="10" xfId="11" applyNumberFormat="1" applyFont="1" applyFill="1" applyBorder="1" applyAlignment="1" applyProtection="1">
      <alignment horizontal="center"/>
      <protection hidden="1"/>
    </xf>
    <xf numFmtId="167" fontId="17" fillId="0" borderId="11" xfId="11" applyNumberFormat="1" applyFont="1" applyFill="1" applyBorder="1" applyAlignment="1" applyProtection="1">
      <alignment horizontal="center"/>
      <protection hidden="1"/>
    </xf>
    <xf numFmtId="3" fontId="4" fillId="0" borderId="27" xfId="0" applyNumberFormat="1" applyFont="1" applyBorder="1" applyAlignment="1" applyProtection="1">
      <alignment horizontal="center"/>
      <protection hidden="1"/>
    </xf>
    <xf numFmtId="3" fontId="4" fillId="0" borderId="28" xfId="0" applyNumberFormat="1" applyFont="1" applyBorder="1" applyAlignment="1" applyProtection="1">
      <alignment horizontal="center"/>
      <protection hidden="1"/>
    </xf>
    <xf numFmtId="3" fontId="4" fillId="0" borderId="29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Fill="1" applyBorder="1" applyAlignment="1" applyProtection="1">
      <alignment horizontal="center"/>
      <protection hidden="1"/>
    </xf>
    <xf numFmtId="3" fontId="3" fillId="0" borderId="2" xfId="0" applyNumberFormat="1" applyFont="1" applyFill="1" applyBorder="1" applyAlignment="1" applyProtection="1">
      <alignment horizontal="center"/>
      <protection hidden="1"/>
    </xf>
    <xf numFmtId="3" fontId="3" fillId="0" borderId="3" xfId="0" applyNumberFormat="1" applyFont="1" applyFill="1" applyBorder="1" applyAlignment="1" applyProtection="1">
      <alignment horizontal="center"/>
      <protection hidden="1"/>
    </xf>
    <xf numFmtId="0" fontId="10" fillId="3" borderId="78" xfId="0" applyFont="1" applyFill="1" applyBorder="1"/>
    <xf numFmtId="0" fontId="0" fillId="0" borderId="79" xfId="0" applyFont="1" applyFill="1" applyBorder="1" applyAlignment="1">
      <alignment horizontal="left"/>
    </xf>
    <xf numFmtId="0" fontId="0" fillId="0" borderId="80" xfId="0" applyFont="1" applyFill="1" applyBorder="1" applyAlignment="1">
      <alignment horizontal="left"/>
    </xf>
    <xf numFmtId="3" fontId="10" fillId="3" borderId="78" xfId="0" applyNumberFormat="1" applyFont="1" applyFill="1" applyBorder="1" applyAlignment="1" applyProtection="1">
      <alignment horizontal="center"/>
      <protection hidden="1"/>
    </xf>
    <xf numFmtId="3" fontId="13" fillId="0" borderId="81" xfId="0" applyNumberFormat="1" applyFont="1" applyFill="1" applyBorder="1" applyAlignment="1" applyProtection="1">
      <alignment horizontal="center"/>
      <protection hidden="1"/>
    </xf>
    <xf numFmtId="3" fontId="13" fillId="0" borderId="79" xfId="0" applyNumberFormat="1" applyFont="1" applyFill="1" applyBorder="1" applyAlignment="1" applyProtection="1">
      <alignment horizontal="center"/>
      <protection hidden="1"/>
    </xf>
    <xf numFmtId="3" fontId="13" fillId="0" borderId="80" xfId="0" applyNumberFormat="1" applyFont="1" applyFill="1" applyBorder="1" applyAlignment="1" applyProtection="1">
      <alignment horizontal="center"/>
      <protection hidden="1"/>
    </xf>
    <xf numFmtId="3" fontId="10" fillId="3" borderId="83" xfId="0" applyNumberFormat="1" applyFont="1" applyFill="1" applyBorder="1" applyAlignment="1">
      <alignment horizontal="center"/>
    </xf>
    <xf numFmtId="3" fontId="10" fillId="3" borderId="84" xfId="0" applyNumberFormat="1" applyFont="1" applyFill="1" applyBorder="1" applyAlignment="1">
      <alignment horizontal="center"/>
    </xf>
    <xf numFmtId="3" fontId="10" fillId="3" borderId="85" xfId="0" applyNumberFormat="1" applyFont="1" applyFill="1" applyBorder="1" applyAlignment="1">
      <alignment horizontal="center"/>
    </xf>
    <xf numFmtId="3" fontId="4" fillId="0" borderId="86" xfId="0" applyNumberFormat="1" applyFont="1" applyFill="1" applyBorder="1" applyAlignment="1">
      <alignment horizontal="center"/>
    </xf>
    <xf numFmtId="3" fontId="4" fillId="0" borderId="87" xfId="0" applyNumberFormat="1" applyFont="1" applyFill="1" applyBorder="1" applyAlignment="1">
      <alignment horizontal="center"/>
    </xf>
    <xf numFmtId="3" fontId="13" fillId="0" borderId="88" xfId="0" applyNumberFormat="1" applyFont="1" applyFill="1" applyBorder="1" applyAlignment="1">
      <alignment horizontal="center"/>
    </xf>
    <xf numFmtId="3" fontId="13" fillId="0" borderId="89" xfId="0" applyNumberFormat="1" applyFont="1" applyFill="1" applyBorder="1" applyAlignment="1">
      <alignment horizontal="center"/>
    </xf>
    <xf numFmtId="3" fontId="8" fillId="0" borderId="89" xfId="0" applyNumberFormat="1" applyFont="1" applyFill="1" applyBorder="1" applyAlignment="1">
      <alignment horizontal="center"/>
    </xf>
    <xf numFmtId="3" fontId="8" fillId="0" borderId="90" xfId="0" applyNumberFormat="1" applyFont="1" applyFill="1" applyBorder="1" applyAlignment="1">
      <alignment horizontal="center"/>
    </xf>
    <xf numFmtId="3" fontId="13" fillId="0" borderId="91" xfId="0" applyNumberFormat="1" applyFont="1" applyFill="1" applyBorder="1" applyAlignment="1">
      <alignment horizontal="center"/>
    </xf>
    <xf numFmtId="3" fontId="8" fillId="0" borderId="92" xfId="0" applyNumberFormat="1" applyFont="1" applyFill="1" applyBorder="1" applyAlignment="1">
      <alignment horizontal="center"/>
    </xf>
    <xf numFmtId="3" fontId="13" fillId="0" borderId="93" xfId="0" applyNumberFormat="1" applyFont="1" applyFill="1" applyBorder="1" applyAlignment="1">
      <alignment horizontal="center"/>
    </xf>
    <xf numFmtId="3" fontId="13" fillId="0" borderId="94" xfId="0" applyNumberFormat="1" applyFont="1" applyFill="1" applyBorder="1" applyAlignment="1">
      <alignment horizontal="center"/>
    </xf>
    <xf numFmtId="3" fontId="8" fillId="0" borderId="94" xfId="0" applyNumberFormat="1" applyFont="1" applyFill="1" applyBorder="1" applyAlignment="1">
      <alignment horizontal="center"/>
    </xf>
    <xf numFmtId="3" fontId="8" fillId="0" borderId="95" xfId="0" applyNumberFormat="1" applyFont="1" applyFill="1" applyBorder="1" applyAlignment="1">
      <alignment horizontal="center"/>
    </xf>
    <xf numFmtId="3" fontId="4" fillId="0" borderId="82" xfId="0" applyNumberFormat="1" applyFont="1" applyFill="1" applyBorder="1" applyAlignment="1">
      <alignment horizontal="center"/>
    </xf>
    <xf numFmtId="3" fontId="10" fillId="3" borderId="13" xfId="0" applyNumberFormat="1" applyFont="1" applyFill="1" applyBorder="1" applyAlignment="1">
      <alignment horizontal="center"/>
    </xf>
    <xf numFmtId="3" fontId="12" fillId="0" borderId="96" xfId="0" applyNumberFormat="1" applyFont="1" applyBorder="1" applyAlignment="1">
      <alignment horizontal="center"/>
    </xf>
    <xf numFmtId="3" fontId="12" fillId="0" borderId="97" xfId="0" applyNumberFormat="1" applyFont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13" fillId="0" borderId="8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0" fontId="0" fillId="0" borderId="71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3" fontId="13" fillId="0" borderId="98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13" fillId="0" borderId="17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12" fillId="0" borderId="71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64" xfId="0" applyNumberFormat="1" applyFont="1" applyBorder="1" applyAlignment="1">
      <alignment horizontal="center"/>
    </xf>
    <xf numFmtId="3" fontId="12" fillId="0" borderId="101" xfId="12" applyNumberFormat="1" applyFont="1" applyBorder="1" applyAlignment="1">
      <alignment horizontal="center"/>
    </xf>
    <xf numFmtId="3" fontId="12" fillId="0" borderId="102" xfId="12" applyNumberFormat="1" applyFont="1" applyBorder="1" applyAlignment="1">
      <alignment horizontal="center"/>
    </xf>
    <xf numFmtId="3" fontId="13" fillId="0" borderId="4" xfId="12" applyNumberFormat="1" applyFont="1" applyFill="1" applyBorder="1" applyAlignment="1">
      <alignment horizontal="center"/>
    </xf>
    <xf numFmtId="3" fontId="13" fillId="0" borderId="4" xfId="12" applyNumberFormat="1" applyFont="1" applyBorder="1" applyAlignment="1">
      <alignment horizontal="center"/>
    </xf>
    <xf numFmtId="3" fontId="12" fillId="0" borderId="5" xfId="12" applyNumberFormat="1" applyFont="1" applyBorder="1" applyAlignment="1">
      <alignment horizontal="center"/>
    </xf>
    <xf numFmtId="3" fontId="13" fillId="0" borderId="6" xfId="12" applyNumberFormat="1" applyFont="1" applyFill="1" applyBorder="1" applyAlignment="1">
      <alignment horizontal="center"/>
    </xf>
    <xf numFmtId="3" fontId="13" fillId="0" borderId="6" xfId="12" applyNumberFormat="1" applyFont="1" applyBorder="1" applyAlignment="1">
      <alignment horizontal="center"/>
    </xf>
    <xf numFmtId="3" fontId="12" fillId="0" borderId="7" xfId="12" applyNumberFormat="1" applyFont="1" applyBorder="1" applyAlignment="1">
      <alignment horizontal="center"/>
    </xf>
    <xf numFmtId="3" fontId="13" fillId="0" borderId="8" xfId="12" applyNumberFormat="1" applyFont="1" applyFill="1" applyBorder="1" applyAlignment="1">
      <alignment horizontal="center"/>
    </xf>
    <xf numFmtId="3" fontId="13" fillId="0" borderId="8" xfId="12" applyNumberFormat="1" applyFont="1" applyBorder="1" applyAlignment="1">
      <alignment horizontal="center"/>
    </xf>
    <xf numFmtId="3" fontId="12" fillId="0" borderId="9" xfId="12" applyNumberFormat="1" applyFont="1" applyBorder="1" applyAlignment="1">
      <alignment horizontal="center"/>
    </xf>
    <xf numFmtId="3" fontId="12" fillId="0" borderId="30" xfId="12" applyNumberFormat="1" applyFont="1" applyBorder="1" applyAlignment="1">
      <alignment horizontal="center"/>
    </xf>
    <xf numFmtId="3" fontId="13" fillId="0" borderId="27" xfId="12" applyNumberFormat="1" applyBorder="1" applyAlignment="1">
      <alignment horizontal="center"/>
    </xf>
    <xf numFmtId="3" fontId="13" fillId="0" borderId="28" xfId="12" applyNumberFormat="1" applyBorder="1" applyAlignment="1">
      <alignment horizontal="center"/>
    </xf>
    <xf numFmtId="3" fontId="13" fillId="0" borderId="28" xfId="12" applyNumberFormat="1" applyFont="1" applyBorder="1" applyAlignment="1">
      <alignment horizontal="center"/>
    </xf>
    <xf numFmtId="3" fontId="13" fillId="0" borderId="103" xfId="12" applyNumberFormat="1" applyBorder="1" applyAlignment="1">
      <alignment horizontal="center"/>
    </xf>
    <xf numFmtId="3" fontId="12" fillId="0" borderId="104" xfId="12" applyNumberFormat="1" applyFont="1" applyBorder="1" applyAlignment="1">
      <alignment horizontal="center"/>
    </xf>
    <xf numFmtId="3" fontId="13" fillId="0" borderId="41" xfId="12" applyNumberFormat="1" applyFont="1" applyFill="1" applyBorder="1" applyAlignment="1">
      <alignment horizontal="center"/>
    </xf>
    <xf numFmtId="3" fontId="13" fillId="0" borderId="99" xfId="12" applyNumberFormat="1" applyFont="1" applyFill="1" applyBorder="1" applyAlignment="1">
      <alignment horizontal="center"/>
    </xf>
    <xf numFmtId="3" fontId="13" fillId="0" borderId="100" xfId="12" applyNumberFormat="1" applyFont="1" applyFill="1" applyBorder="1" applyAlignment="1">
      <alignment horizontal="center"/>
    </xf>
    <xf numFmtId="0" fontId="13" fillId="0" borderId="71" xfId="12" applyFill="1" applyBorder="1" applyAlignment="1">
      <alignment horizontal="left"/>
    </xf>
    <xf numFmtId="0" fontId="13" fillId="0" borderId="14" xfId="12" applyFont="1" applyFill="1" applyBorder="1" applyAlignment="1">
      <alignment horizontal="left"/>
    </xf>
    <xf numFmtId="0" fontId="13" fillId="0" borderId="14" xfId="12" applyFill="1" applyBorder="1" applyAlignment="1">
      <alignment horizontal="left"/>
    </xf>
    <xf numFmtId="0" fontId="13" fillId="0" borderId="64" xfId="12" applyFill="1" applyBorder="1" applyAlignment="1">
      <alignment horizontal="left"/>
    </xf>
    <xf numFmtId="0" fontId="4" fillId="0" borderId="0" xfId="0" applyFont="1"/>
    <xf numFmtId="3" fontId="18" fillId="0" borderId="106" xfId="0" applyNumberFormat="1" applyFont="1" applyFill="1" applyBorder="1" applyAlignment="1">
      <alignment horizontal="center"/>
    </xf>
    <xf numFmtId="3" fontId="18" fillId="0" borderId="105" xfId="0" applyNumberFormat="1" applyFont="1" applyFill="1" applyBorder="1" applyAlignment="1">
      <alignment horizontal="center"/>
    </xf>
    <xf numFmtId="3" fontId="10" fillId="5" borderId="25" xfId="0" applyNumberFormat="1" applyFont="1" applyFill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0" fillId="0" borderId="107" xfId="0" applyNumberFormat="1" applyBorder="1" applyAlignment="1">
      <alignment horizontal="center"/>
    </xf>
    <xf numFmtId="3" fontId="13" fillId="0" borderId="107" xfId="12" applyNumberFormat="1" applyFont="1" applyBorder="1" applyAlignment="1">
      <alignment horizontal="center"/>
    </xf>
    <xf numFmtId="3" fontId="0" fillId="0" borderId="16" xfId="0" applyNumberFormat="1" applyBorder="1" applyAlignment="1" applyProtection="1">
      <alignment horizontal="center"/>
      <protection hidden="1"/>
    </xf>
    <xf numFmtId="3" fontId="0" fillId="0" borderId="108" xfId="0" applyNumberFormat="1" applyBorder="1" applyAlignment="1">
      <alignment horizontal="center"/>
    </xf>
    <xf numFmtId="3" fontId="0" fillId="0" borderId="109" xfId="0" applyNumberFormat="1" applyBorder="1" applyAlignment="1">
      <alignment horizontal="center"/>
    </xf>
    <xf numFmtId="3" fontId="0" fillId="0" borderId="109" xfId="7" applyNumberFormat="1" applyFont="1" applyBorder="1" applyAlignment="1">
      <alignment horizontal="center"/>
    </xf>
    <xf numFmtId="3" fontId="0" fillId="0" borderId="11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6" xfId="7" applyNumberFormat="1" applyFont="1" applyBorder="1" applyAlignment="1">
      <alignment horizontal="center"/>
    </xf>
    <xf numFmtId="3" fontId="10" fillId="5" borderId="26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3" fontId="0" fillId="0" borderId="106" xfId="0" applyNumberFormat="1" applyBorder="1" applyAlignment="1">
      <alignment horizontal="center"/>
    </xf>
    <xf numFmtId="3" fontId="0" fillId="0" borderId="105" xfId="0" applyNumberFormat="1" applyBorder="1" applyAlignment="1">
      <alignment horizontal="center"/>
    </xf>
    <xf numFmtId="3" fontId="10" fillId="5" borderId="22" xfId="0" applyNumberFormat="1" applyFont="1" applyFill="1" applyBorder="1" applyAlignment="1">
      <alignment horizontal="center"/>
    </xf>
    <xf numFmtId="10" fontId="7" fillId="4" borderId="63" xfId="11" applyNumberFormat="1" applyFont="1" applyFill="1" applyBorder="1" applyAlignment="1">
      <alignment horizontal="center"/>
    </xf>
    <xf numFmtId="10" fontId="17" fillId="0" borderId="11" xfId="11" applyNumberFormat="1" applyFont="1" applyFill="1" applyBorder="1" applyAlignment="1" applyProtection="1">
      <alignment horizontal="center"/>
      <protection hidden="1"/>
    </xf>
    <xf numFmtId="3" fontId="4" fillId="0" borderId="38" xfId="0" applyNumberFormat="1" applyFont="1" applyBorder="1" applyAlignment="1" applyProtection="1">
      <alignment horizontal="center"/>
      <protection hidden="1"/>
    </xf>
    <xf numFmtId="3" fontId="4" fillId="0" borderId="14" xfId="0" applyNumberFormat="1" applyFont="1" applyBorder="1" applyAlignment="1" applyProtection="1">
      <alignment horizontal="center"/>
      <protection hidden="1"/>
    </xf>
    <xf numFmtId="3" fontId="4" fillId="0" borderId="15" xfId="0" applyNumberFormat="1" applyFont="1" applyBorder="1" applyAlignment="1" applyProtection="1">
      <alignment horizontal="center"/>
      <protection hidden="1"/>
    </xf>
    <xf numFmtId="3" fontId="16" fillId="0" borderId="38" xfId="0" applyNumberFormat="1" applyFont="1" applyBorder="1" applyAlignment="1" applyProtection="1">
      <alignment horizontal="center"/>
      <protection hidden="1"/>
    </xf>
    <xf numFmtId="3" fontId="16" fillId="0" borderId="14" xfId="0" applyNumberFormat="1" applyFont="1" applyBorder="1" applyAlignment="1" applyProtection="1">
      <alignment horizontal="center"/>
      <protection hidden="1"/>
    </xf>
    <xf numFmtId="3" fontId="16" fillId="0" borderId="15" xfId="0" applyNumberFormat="1" applyFont="1" applyBorder="1" applyAlignment="1" applyProtection="1">
      <alignment horizontal="center"/>
      <protection hidden="1"/>
    </xf>
    <xf numFmtId="3" fontId="0" fillId="0" borderId="7" xfId="0" applyNumberFormat="1" applyFont="1" applyBorder="1" applyAlignment="1" applyProtection="1">
      <alignment horizontal="center"/>
    </xf>
    <xf numFmtId="0" fontId="0" fillId="0" borderId="0" xfId="0" applyProtection="1"/>
    <xf numFmtId="3" fontId="4" fillId="0" borderId="86" xfId="0" applyNumberFormat="1" applyFont="1" applyFill="1" applyBorder="1" applyAlignment="1" applyProtection="1">
      <alignment horizontal="center"/>
    </xf>
    <xf numFmtId="3" fontId="4" fillId="0" borderId="0" xfId="0" applyNumberFormat="1" applyFont="1" applyProtection="1">
      <protection hidden="1"/>
    </xf>
    <xf numFmtId="3" fontId="0" fillId="0" borderId="106" xfId="0" applyNumberFormat="1" applyFont="1" applyFill="1" applyBorder="1" applyAlignment="1" applyProtection="1">
      <alignment horizontal="center"/>
      <protection hidden="1"/>
    </xf>
    <xf numFmtId="3" fontId="0" fillId="0" borderId="105" xfId="0" applyNumberFormat="1" applyFont="1" applyFill="1" applyBorder="1" applyAlignment="1" applyProtection="1">
      <alignment horizontal="center"/>
      <protection hidden="1"/>
    </xf>
    <xf numFmtId="3" fontId="18" fillId="0" borderId="106" xfId="0" applyNumberFormat="1" applyFont="1" applyFill="1" applyBorder="1" applyAlignment="1" applyProtection="1">
      <alignment horizontal="center"/>
      <protection hidden="1"/>
    </xf>
    <xf numFmtId="3" fontId="18" fillId="0" borderId="105" xfId="0" applyNumberFormat="1" applyFont="1" applyFill="1" applyBorder="1" applyAlignment="1" applyProtection="1">
      <alignment horizontal="center"/>
      <protection hidden="1"/>
    </xf>
    <xf numFmtId="10" fontId="4" fillId="0" borderId="0" xfId="11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6" fillId="0" borderId="105" xfId="0" applyNumberFormat="1" applyFont="1" applyFill="1" applyBorder="1" applyAlignment="1">
      <alignment horizontal="center"/>
    </xf>
    <xf numFmtId="3" fontId="4" fillId="0" borderId="105" xfId="0" applyNumberFormat="1" applyFont="1" applyFill="1" applyBorder="1" applyAlignment="1" applyProtection="1">
      <alignment horizontal="center"/>
      <protection hidden="1"/>
    </xf>
    <xf numFmtId="3" fontId="4" fillId="0" borderId="105" xfId="0" applyNumberFormat="1" applyFont="1" applyBorder="1" applyAlignment="1">
      <alignment horizontal="center"/>
    </xf>
    <xf numFmtId="3" fontId="16" fillId="0" borderId="105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 horizontal="right"/>
    </xf>
    <xf numFmtId="167" fontId="16" fillId="0" borderId="18" xfId="11" applyNumberFormat="1" applyFont="1" applyBorder="1" applyAlignment="1" applyProtection="1">
      <alignment horizontal="center"/>
      <protection hidden="1"/>
    </xf>
    <xf numFmtId="167" fontId="16" fillId="0" borderId="19" xfId="11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3" fontId="18" fillId="0" borderId="8" xfId="0" applyNumberFormat="1" applyFont="1" applyBorder="1" applyAlignment="1" applyProtection="1">
      <alignment horizontal="center"/>
      <protection hidden="1"/>
    </xf>
    <xf numFmtId="0" fontId="16" fillId="0" borderId="20" xfId="0" applyNumberFormat="1" applyFont="1" applyFill="1" applyBorder="1" applyAlignment="1">
      <alignment horizontal="left"/>
    </xf>
    <xf numFmtId="3" fontId="16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 applyProtection="1">
      <alignment horizontal="center"/>
      <protection hidden="1"/>
    </xf>
    <xf numFmtId="0" fontId="0" fillId="0" borderId="13" xfId="0" applyFont="1" applyBorder="1"/>
    <xf numFmtId="3" fontId="0" fillId="0" borderId="10" xfId="0" applyNumberFormat="1" applyFont="1" applyBorder="1" applyAlignment="1" applyProtection="1">
      <alignment horizontal="center"/>
      <protection hidden="1"/>
    </xf>
    <xf numFmtId="3" fontId="0" fillId="0" borderId="11" xfId="0" applyNumberFormat="1" applyFont="1" applyBorder="1" applyAlignment="1" applyProtection="1">
      <alignment horizontal="center"/>
      <protection hidden="1"/>
    </xf>
    <xf numFmtId="3" fontId="0" fillId="0" borderId="13" xfId="0" applyNumberFormat="1" applyFont="1" applyBorder="1" applyAlignment="1">
      <alignment horizontal="center"/>
    </xf>
    <xf numFmtId="3" fontId="4" fillId="0" borderId="48" xfId="0" applyNumberFormat="1" applyFont="1" applyBorder="1" applyAlignment="1" applyProtection="1">
      <alignment horizontal="center"/>
      <protection hidden="1"/>
    </xf>
    <xf numFmtId="3" fontId="4" fillId="0" borderId="51" xfId="0" applyNumberFormat="1" applyFont="1" applyBorder="1" applyAlignment="1" applyProtection="1">
      <alignment horizontal="center"/>
      <protection hidden="1"/>
    </xf>
    <xf numFmtId="3" fontId="0" fillId="0" borderId="114" xfId="0" applyNumberFormat="1" applyBorder="1" applyAlignment="1" applyProtection="1">
      <alignment horizontal="center"/>
      <protection hidden="1"/>
    </xf>
    <xf numFmtId="0" fontId="0" fillId="0" borderId="115" xfId="0" applyFill="1" applyBorder="1" applyAlignment="1" applyProtection="1">
      <alignment horizontal="left"/>
      <protection hidden="1"/>
    </xf>
    <xf numFmtId="3" fontId="0" fillId="0" borderId="116" xfId="0" applyNumberFormat="1" applyBorder="1" applyAlignment="1" applyProtection="1">
      <alignment horizontal="center"/>
      <protection hidden="1"/>
    </xf>
    <xf numFmtId="3" fontId="0" fillId="0" borderId="117" xfId="0" applyNumberFormat="1" applyBorder="1" applyAlignment="1" applyProtection="1">
      <alignment horizontal="center"/>
      <protection hidden="1"/>
    </xf>
    <xf numFmtId="3" fontId="4" fillId="0" borderId="111" xfId="0" applyNumberFormat="1" applyFont="1" applyBorder="1" applyAlignment="1" applyProtection="1">
      <alignment horizontal="center"/>
      <protection hidden="1"/>
    </xf>
    <xf numFmtId="3" fontId="4" fillId="0" borderId="120" xfId="0" applyNumberFormat="1" applyFont="1" applyBorder="1" applyAlignment="1" applyProtection="1">
      <alignment horizontal="center"/>
      <protection hidden="1"/>
    </xf>
    <xf numFmtId="0" fontId="4" fillId="0" borderId="121" xfId="0" applyFont="1" applyBorder="1" applyProtection="1">
      <protection hidden="1"/>
    </xf>
    <xf numFmtId="3" fontId="4" fillId="0" borderId="122" xfId="0" applyNumberFormat="1" applyFont="1" applyBorder="1" applyAlignment="1" applyProtection="1">
      <alignment horizontal="center"/>
      <protection hidden="1"/>
    </xf>
    <xf numFmtId="3" fontId="4" fillId="0" borderId="123" xfId="0" applyNumberFormat="1" applyFont="1" applyBorder="1" applyAlignment="1" applyProtection="1">
      <alignment horizontal="center"/>
      <protection hidden="1"/>
    </xf>
    <xf numFmtId="3" fontId="0" fillId="0" borderId="97" xfId="0" applyNumberFormat="1" applyFont="1" applyBorder="1" applyAlignment="1" applyProtection="1">
      <alignment horizontal="center"/>
      <protection hidden="1"/>
    </xf>
    <xf numFmtId="0" fontId="0" fillId="0" borderId="118" xfId="0" applyFont="1" applyFill="1" applyBorder="1" applyAlignment="1" applyProtection="1">
      <alignment horizontal="left"/>
      <protection hidden="1"/>
    </xf>
    <xf numFmtId="3" fontId="0" fillId="0" borderId="119" xfId="0" applyNumberFormat="1" applyFont="1" applyBorder="1" applyAlignment="1" applyProtection="1">
      <alignment horizontal="center"/>
      <protection hidden="1"/>
    </xf>
    <xf numFmtId="0" fontId="4" fillId="0" borderId="113" xfId="0" applyFont="1" applyFill="1" applyBorder="1" applyAlignment="1" applyProtection="1">
      <alignment horizontal="left"/>
      <protection hidden="1"/>
    </xf>
    <xf numFmtId="3" fontId="0" fillId="0" borderId="124" xfId="0" applyNumberFormat="1" applyBorder="1" applyAlignment="1" applyProtection="1">
      <alignment horizontal="center"/>
      <protection hidden="1"/>
    </xf>
    <xf numFmtId="3" fontId="0" fillId="0" borderId="125" xfId="0" applyNumberFormat="1" applyBorder="1" applyAlignment="1" applyProtection="1">
      <alignment horizontal="center"/>
      <protection hidden="1"/>
    </xf>
    <xf numFmtId="3" fontId="4" fillId="0" borderId="126" xfId="0" applyNumberFormat="1" applyFont="1" applyBorder="1" applyAlignment="1" applyProtection="1">
      <alignment horizontal="center"/>
      <protection hidden="1"/>
    </xf>
    <xf numFmtId="3" fontId="0" fillId="0" borderId="118" xfId="0" applyNumberFormat="1" applyFont="1" applyBorder="1" applyAlignment="1" applyProtection="1">
      <alignment horizontal="center"/>
      <protection hidden="1"/>
    </xf>
    <xf numFmtId="3" fontId="4" fillId="0" borderId="113" xfId="0" applyNumberFormat="1" applyFont="1" applyBorder="1" applyAlignment="1" applyProtection="1">
      <alignment horizontal="center"/>
      <protection hidden="1"/>
    </xf>
    <xf numFmtId="3" fontId="7" fillId="0" borderId="112" xfId="0" applyNumberFormat="1" applyFont="1" applyBorder="1" applyAlignment="1" applyProtection="1">
      <alignment horizontal="center"/>
      <protection hidden="1"/>
    </xf>
    <xf numFmtId="3" fontId="4" fillId="0" borderId="121" xfId="0" applyNumberFormat="1" applyFont="1" applyBorder="1" applyAlignment="1" applyProtection="1">
      <alignment horizontal="center"/>
      <protection hidden="1"/>
    </xf>
    <xf numFmtId="3" fontId="7" fillId="0" borderId="127" xfId="0" applyNumberFormat="1" applyFont="1" applyBorder="1" applyAlignment="1" applyProtection="1">
      <alignment horizontal="center"/>
      <protection hidden="1"/>
    </xf>
    <xf numFmtId="3" fontId="0" fillId="0" borderId="128" xfId="0" applyNumberFormat="1" applyFont="1" applyBorder="1" applyAlignment="1" applyProtection="1">
      <alignment horizontal="center"/>
      <protection hidden="1"/>
    </xf>
    <xf numFmtId="0" fontId="24" fillId="0" borderId="0" xfId="0" applyFont="1"/>
    <xf numFmtId="4" fontId="24" fillId="0" borderId="0" xfId="0" applyNumberFormat="1" applyFont="1"/>
    <xf numFmtId="4" fontId="25" fillId="0" borderId="0" xfId="0" applyNumberFormat="1" applyFont="1"/>
    <xf numFmtId="4" fontId="0" fillId="0" borderId="0" xfId="0" applyNumberFormat="1" applyFill="1" applyBorder="1"/>
    <xf numFmtId="3" fontId="0" fillId="0" borderId="7" xfId="0" applyNumberFormat="1" applyBorder="1" applyAlignment="1">
      <alignment horizontal="center"/>
    </xf>
    <xf numFmtId="3" fontId="10" fillId="5" borderId="11" xfId="0" applyNumberFormat="1" applyFont="1" applyFill="1" applyBorder="1" applyAlignment="1">
      <alignment horizontal="center" wrapText="1"/>
    </xf>
    <xf numFmtId="4" fontId="18" fillId="0" borderId="106" xfId="0" applyNumberFormat="1" applyFont="1" applyFill="1" applyBorder="1" applyAlignment="1">
      <alignment horizontal="center"/>
    </xf>
    <xf numFmtId="4" fontId="0" fillId="0" borderId="106" xfId="0" applyNumberFormat="1" applyFont="1" applyFill="1" applyBorder="1" applyAlignment="1" applyProtection="1">
      <alignment horizontal="center"/>
      <protection hidden="1"/>
    </xf>
    <xf numFmtId="3" fontId="0" fillId="0" borderId="40" xfId="0" applyNumberFormat="1" applyFont="1" applyFill="1" applyBorder="1" applyAlignment="1" applyProtection="1">
      <alignment horizontal="center"/>
      <protection hidden="1"/>
    </xf>
    <xf numFmtId="3" fontId="4" fillId="0" borderId="36" xfId="0" applyNumberFormat="1" applyFont="1" applyFill="1" applyBorder="1" applyAlignment="1" applyProtection="1">
      <alignment horizontal="center"/>
      <protection hidden="1"/>
    </xf>
    <xf numFmtId="0" fontId="12" fillId="0" borderId="13" xfId="0" applyFont="1" applyBorder="1"/>
    <xf numFmtId="0" fontId="7" fillId="0" borderId="13" xfId="0" applyNumberFormat="1" applyFont="1" applyFill="1" applyBorder="1" applyAlignment="1" applyProtection="1">
      <alignment horizontal="left"/>
      <protection hidden="1"/>
    </xf>
    <xf numFmtId="0" fontId="12" fillId="0" borderId="13" xfId="0" applyNumberFormat="1" applyFont="1" applyFill="1" applyBorder="1" applyAlignment="1" applyProtection="1">
      <alignment horizontal="left"/>
      <protection hidden="1"/>
    </xf>
    <xf numFmtId="3" fontId="12" fillId="0" borderId="56" xfId="0" applyNumberFormat="1" applyFont="1" applyBorder="1" applyAlignment="1">
      <alignment horizontal="center"/>
    </xf>
    <xf numFmtId="3" fontId="0" fillId="0" borderId="145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13" fillId="0" borderId="56" xfId="12" applyNumberFormat="1" applyBorder="1" applyAlignment="1">
      <alignment horizontal="center"/>
    </xf>
    <xf numFmtId="4" fontId="0" fillId="0" borderId="40" xfId="0" applyNumberFormat="1" applyFont="1" applyFill="1" applyBorder="1" applyAlignment="1" applyProtection="1">
      <alignment horizontal="center"/>
      <protection hidden="1"/>
    </xf>
    <xf numFmtId="4" fontId="0" fillId="6" borderId="136" xfId="0" applyNumberFormat="1" applyFont="1" applyFill="1" applyBorder="1" applyAlignment="1" applyProtection="1">
      <alignment horizontal="center"/>
      <protection hidden="1"/>
    </xf>
    <xf numFmtId="49" fontId="23" fillId="0" borderId="0" xfId="9" applyNumberFormat="1" applyFont="1" applyAlignment="1" applyProtection="1">
      <alignment horizontal="left"/>
      <protection hidden="1"/>
    </xf>
    <xf numFmtId="0" fontId="20" fillId="0" borderId="0" xfId="9" applyFont="1" applyAlignment="1" applyProtection="1">
      <alignment horizontal="center"/>
      <protection hidden="1"/>
    </xf>
    <xf numFmtId="168" fontId="21" fillId="0" borderId="0" xfId="9" applyNumberFormat="1" applyFont="1" applyAlignment="1" applyProtection="1">
      <alignment horizontal="center"/>
      <protection hidden="1"/>
    </xf>
    <xf numFmtId="3" fontId="20" fillId="0" borderId="0" xfId="9" applyNumberFormat="1" applyFont="1" applyProtection="1">
      <protection hidden="1"/>
    </xf>
    <xf numFmtId="0" fontId="20" fillId="0" borderId="0" xfId="9" applyFont="1" applyProtection="1">
      <protection hidden="1"/>
    </xf>
    <xf numFmtId="0" fontId="22" fillId="0" borderId="0" xfId="9" applyFont="1" applyAlignment="1" applyProtection="1">
      <alignment horizontal="left" vertical="center"/>
      <protection hidden="1"/>
    </xf>
    <xf numFmtId="0" fontId="20" fillId="0" borderId="0" xfId="9" applyFont="1" applyAlignment="1" applyProtection="1">
      <alignment horizontal="center" textRotation="90"/>
      <protection hidden="1"/>
    </xf>
    <xf numFmtId="0" fontId="20" fillId="0" borderId="133" xfId="9" applyFont="1" applyBorder="1" applyAlignment="1" applyProtection="1">
      <alignment horizontal="center" textRotation="90"/>
      <protection hidden="1"/>
    </xf>
    <xf numFmtId="0" fontId="22" fillId="0" borderId="0" xfId="9" applyFont="1" applyBorder="1" applyAlignment="1" applyProtection="1">
      <alignment horizontal="center" textRotation="90" wrapText="1"/>
      <protection hidden="1"/>
    </xf>
    <xf numFmtId="0" fontId="22" fillId="0" borderId="13" xfId="9" applyFont="1" applyBorder="1" applyAlignment="1" applyProtection="1">
      <alignment horizontal="center" textRotation="90"/>
      <protection hidden="1"/>
    </xf>
    <xf numFmtId="0" fontId="22" fillId="0" borderId="22" xfId="9" applyFont="1" applyBorder="1" applyAlignment="1" applyProtection="1">
      <alignment horizontal="center" textRotation="90"/>
      <protection hidden="1"/>
    </xf>
    <xf numFmtId="0" fontId="22" fillId="0" borderId="129" xfId="9" applyFont="1" applyBorder="1" applyAlignment="1" applyProtection="1">
      <alignment horizontal="center" textRotation="90"/>
      <protection hidden="1"/>
    </xf>
    <xf numFmtId="0" fontId="22" fillId="0" borderId="13" xfId="9" applyFont="1" applyBorder="1" applyAlignment="1" applyProtection="1">
      <alignment horizontal="center" textRotation="90" wrapText="1"/>
      <protection hidden="1"/>
    </xf>
    <xf numFmtId="0" fontId="22" fillId="0" borderId="56" xfId="9" applyFont="1" applyBorder="1" applyAlignment="1" applyProtection="1">
      <alignment horizontal="center" textRotation="90" wrapText="1"/>
      <protection hidden="1"/>
    </xf>
    <xf numFmtId="168" fontId="21" fillId="0" borderId="13" xfId="9" applyNumberFormat="1" applyFont="1" applyBorder="1" applyAlignment="1" applyProtection="1">
      <alignment horizontal="center"/>
      <protection hidden="1"/>
    </xf>
    <xf numFmtId="3" fontId="21" fillId="0" borderId="13" xfId="9" applyNumberFormat="1" applyFont="1" applyBorder="1" applyAlignment="1" applyProtection="1">
      <alignment horizontal="center" wrapText="1"/>
      <protection hidden="1"/>
    </xf>
    <xf numFmtId="3" fontId="22" fillId="0" borderId="0" xfId="9" applyNumberFormat="1" applyFont="1" applyProtection="1">
      <protection hidden="1"/>
    </xf>
    <xf numFmtId="0" fontId="22" fillId="0" borderId="0" xfId="9" applyFont="1" applyProtection="1">
      <protection hidden="1"/>
    </xf>
    <xf numFmtId="3" fontId="22" fillId="0" borderId="27" xfId="9" applyNumberFormat="1" applyFont="1" applyFill="1" applyBorder="1" applyAlignment="1" applyProtection="1">
      <alignment horizontal="left" vertical="center" wrapText="1"/>
      <protection hidden="1"/>
    </xf>
    <xf numFmtId="168" fontId="21" fillId="0" borderId="71" xfId="9" applyNumberFormat="1" applyFont="1" applyFill="1" applyBorder="1" applyAlignment="1" applyProtection="1">
      <alignment horizontal="center"/>
      <protection hidden="1"/>
    </xf>
    <xf numFmtId="3" fontId="21" fillId="0" borderId="71" xfId="9" applyNumberFormat="1" applyFont="1" applyFill="1" applyBorder="1" applyAlignment="1" applyProtection="1">
      <alignment horizontal="center"/>
      <protection hidden="1"/>
    </xf>
    <xf numFmtId="3" fontId="20" fillId="0" borderId="0" xfId="9" applyNumberFormat="1" applyFont="1" applyFill="1" applyProtection="1">
      <protection hidden="1"/>
    </xf>
    <xf numFmtId="0" fontId="20" fillId="0" borderId="0" xfId="9" applyFont="1" applyFill="1" applyProtection="1">
      <protection hidden="1"/>
    </xf>
    <xf numFmtId="3" fontId="22" fillId="0" borderId="28" xfId="9" applyNumberFormat="1" applyFont="1" applyFill="1" applyBorder="1" applyAlignment="1" applyProtection="1">
      <alignment horizontal="left" vertical="center"/>
      <protection hidden="1"/>
    </xf>
    <xf numFmtId="168" fontId="21" fillId="0" borderId="14" xfId="9" applyNumberFormat="1" applyFont="1" applyFill="1" applyBorder="1" applyAlignment="1" applyProtection="1">
      <alignment horizontal="center"/>
      <protection hidden="1"/>
    </xf>
    <xf numFmtId="3" fontId="21" fillId="0" borderId="14" xfId="9" applyNumberFormat="1" applyFont="1" applyFill="1" applyBorder="1" applyAlignment="1" applyProtection="1">
      <alignment horizontal="center"/>
      <protection hidden="1"/>
    </xf>
    <xf numFmtId="3" fontId="22" fillId="0" borderId="28" xfId="9" applyNumberFormat="1" applyFont="1" applyFill="1" applyBorder="1" applyAlignment="1" applyProtection="1">
      <alignment horizontal="left" vertical="center" wrapText="1"/>
      <protection hidden="1"/>
    </xf>
    <xf numFmtId="3" fontId="22" fillId="0" borderId="28" xfId="9" applyNumberFormat="1" applyFont="1" applyBorder="1" applyAlignment="1" applyProtection="1">
      <alignment horizontal="left" vertical="center" wrapText="1"/>
      <protection hidden="1"/>
    </xf>
    <xf numFmtId="3" fontId="22" fillId="0" borderId="29" xfId="9" applyNumberFormat="1" applyFont="1" applyBorder="1" applyAlignment="1" applyProtection="1">
      <alignment horizontal="left" vertical="center" wrapText="1"/>
      <protection hidden="1"/>
    </xf>
    <xf numFmtId="168" fontId="21" fillId="0" borderId="64" xfId="9" applyNumberFormat="1" applyFont="1" applyBorder="1" applyAlignment="1" applyProtection="1">
      <alignment horizontal="center"/>
      <protection hidden="1"/>
    </xf>
    <xf numFmtId="3" fontId="21" fillId="0" borderId="64" xfId="9" applyNumberFormat="1" applyFont="1" applyBorder="1" applyAlignment="1" applyProtection="1">
      <alignment horizontal="center"/>
      <protection hidden="1"/>
    </xf>
    <xf numFmtId="3" fontId="22" fillId="0" borderId="13" xfId="9" applyNumberFormat="1" applyFont="1" applyFill="1" applyBorder="1" applyAlignment="1" applyProtection="1">
      <alignment horizontal="left" vertical="center"/>
      <protection hidden="1"/>
    </xf>
    <xf numFmtId="4" fontId="22" fillId="0" borderId="13" xfId="9" applyNumberFormat="1" applyFont="1" applyBorder="1" applyAlignment="1" applyProtection="1">
      <alignment horizontal="center"/>
      <protection hidden="1"/>
    </xf>
    <xf numFmtId="4" fontId="22" fillId="0" borderId="22" xfId="9" applyNumberFormat="1" applyFont="1" applyBorder="1" applyAlignment="1" applyProtection="1">
      <alignment horizontal="center"/>
      <protection hidden="1"/>
    </xf>
    <xf numFmtId="4" fontId="22" fillId="0" borderId="129" xfId="9" applyNumberFormat="1" applyFont="1" applyBorder="1" applyAlignment="1" applyProtection="1">
      <alignment horizontal="center"/>
      <protection hidden="1"/>
    </xf>
    <xf numFmtId="4" fontId="22" fillId="0" borderId="20" xfId="9" applyNumberFormat="1" applyFont="1" applyBorder="1" applyAlignment="1" applyProtection="1">
      <alignment horizontal="center"/>
      <protection hidden="1"/>
    </xf>
    <xf numFmtId="3" fontId="21" fillId="0" borderId="13" xfId="9" applyNumberFormat="1" applyFont="1" applyBorder="1" applyAlignment="1" applyProtection="1">
      <alignment horizontal="center"/>
      <protection hidden="1"/>
    </xf>
    <xf numFmtId="4" fontId="20" fillId="0" borderId="0" xfId="9" applyNumberFormat="1" applyFont="1" applyAlignment="1" applyProtection="1">
      <alignment horizontal="center"/>
      <protection hidden="1"/>
    </xf>
    <xf numFmtId="17" fontId="28" fillId="0" borderId="0" xfId="9" applyNumberFormat="1" applyFont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09" xfId="0" applyBorder="1" applyAlignment="1">
      <alignment horizontal="center"/>
    </xf>
    <xf numFmtId="0" fontId="0" fillId="0" borderId="23" xfId="0" applyBorder="1" applyAlignment="1" applyProtection="1">
      <alignment horizontal="center"/>
      <protection hidden="1"/>
    </xf>
    <xf numFmtId="0" fontId="24" fillId="0" borderId="0" xfId="0" applyFont="1" applyAlignment="1">
      <alignment vertical="center"/>
    </xf>
    <xf numFmtId="4" fontId="0" fillId="0" borderId="0" xfId="0" applyNumberFormat="1"/>
    <xf numFmtId="4" fontId="24" fillId="0" borderId="0" xfId="0" applyNumberFormat="1" applyFont="1" applyAlignment="1">
      <alignment vertical="center"/>
    </xf>
    <xf numFmtId="0" fontId="0" fillId="6" borderId="14" xfId="0" applyFont="1" applyFill="1" applyBorder="1" applyAlignment="1" applyProtection="1">
      <alignment horizontal="left"/>
      <protection hidden="1"/>
    </xf>
    <xf numFmtId="170" fontId="4" fillId="0" borderId="0" xfId="0" applyNumberFormat="1" applyFo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3" fontId="10" fillId="5" borderId="134" xfId="0" applyNumberFormat="1" applyFont="1" applyFill="1" applyBorder="1" applyAlignment="1" applyProtection="1">
      <alignment horizontal="left"/>
      <protection hidden="1"/>
    </xf>
    <xf numFmtId="3" fontId="22" fillId="0" borderId="137" xfId="9" applyNumberFormat="1" applyFont="1" applyFill="1" applyBorder="1" applyAlignment="1" applyProtection="1">
      <alignment horizontal="center" vertical="center" textRotation="90" wrapText="1"/>
      <protection hidden="1"/>
    </xf>
    <xf numFmtId="3" fontId="22" fillId="0" borderId="138" xfId="9" applyNumberFormat="1" applyFont="1" applyFill="1" applyBorder="1" applyAlignment="1" applyProtection="1">
      <alignment horizontal="center" vertical="center" textRotation="90"/>
      <protection hidden="1"/>
    </xf>
    <xf numFmtId="3" fontId="22" fillId="0" borderId="138" xfId="9" applyNumberFormat="1" applyFont="1" applyFill="1" applyBorder="1" applyAlignment="1" applyProtection="1">
      <alignment horizontal="center" vertical="center" textRotation="90" wrapText="1"/>
      <protection hidden="1"/>
    </xf>
    <xf numFmtId="3" fontId="22" fillId="0" borderId="138" xfId="9" applyNumberFormat="1" applyFont="1" applyBorder="1" applyAlignment="1" applyProtection="1">
      <alignment horizontal="center" vertical="center" textRotation="90" wrapText="1"/>
      <protection hidden="1"/>
    </xf>
    <xf numFmtId="3" fontId="22" fillId="0" borderId="144" xfId="9" applyNumberFormat="1" applyFont="1" applyBorder="1" applyAlignment="1" applyProtection="1">
      <alignment horizontal="center" vertical="center" textRotation="90" wrapText="1"/>
      <protection hidden="1"/>
    </xf>
    <xf numFmtId="0" fontId="4" fillId="0" borderId="143" xfId="0" applyFont="1" applyBorder="1" applyAlignment="1" applyProtection="1">
      <alignment horizontal="center" textRotation="90"/>
      <protection hidden="1"/>
    </xf>
    <xf numFmtId="0" fontId="0" fillId="6" borderId="71" xfId="0" applyFont="1" applyFill="1" applyBorder="1" applyAlignment="1" applyProtection="1">
      <alignment horizontal="left"/>
      <protection hidden="1"/>
    </xf>
    <xf numFmtId="4" fontId="4" fillId="6" borderId="14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" fontId="4" fillId="0" borderId="141" xfId="0" applyNumberFormat="1" applyFont="1" applyBorder="1" applyAlignment="1" applyProtection="1">
      <alignment horizontal="center"/>
      <protection hidden="1"/>
    </xf>
    <xf numFmtId="4" fontId="4" fillId="6" borderId="141" xfId="0" applyNumberFormat="1" applyFont="1" applyFill="1" applyBorder="1" applyAlignment="1" applyProtection="1">
      <alignment horizontal="center"/>
      <protection hidden="1"/>
    </xf>
    <xf numFmtId="0" fontId="0" fillId="6" borderId="15" xfId="0" applyFont="1" applyFill="1" applyBorder="1" applyAlignment="1" applyProtection="1">
      <alignment horizontal="left"/>
      <protection hidden="1"/>
    </xf>
    <xf numFmtId="0" fontId="0" fillId="6" borderId="38" xfId="0" applyFont="1" applyFill="1" applyBorder="1" applyAlignment="1" applyProtection="1">
      <alignment horizontal="left"/>
      <protection hidden="1"/>
    </xf>
    <xf numFmtId="0" fontId="0" fillId="0" borderId="64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4" fontId="19" fillId="0" borderId="135" xfId="0" applyNumberFormat="1" applyFont="1" applyBorder="1" applyAlignment="1" applyProtection="1">
      <alignment horizontal="center"/>
      <protection hidden="1"/>
    </xf>
    <xf numFmtId="4" fontId="19" fillId="0" borderId="67" xfId="0" applyNumberFormat="1" applyFont="1" applyBorder="1" applyAlignment="1" applyProtection="1">
      <alignment horizontal="center"/>
      <protection hidden="1"/>
    </xf>
    <xf numFmtId="4" fontId="19" fillId="0" borderId="139" xfId="0" applyNumberFormat="1" applyFont="1" applyBorder="1" applyAlignment="1" applyProtection="1">
      <alignment horizontal="center"/>
      <protection hidden="1"/>
    </xf>
    <xf numFmtId="4" fontId="19" fillId="0" borderId="142" xfId="0" applyNumberFormat="1" applyFont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169" fontId="0" fillId="0" borderId="0" xfId="0" applyNumberFormat="1" applyProtection="1">
      <protection hidden="1"/>
    </xf>
    <xf numFmtId="170" fontId="0" fillId="0" borderId="0" xfId="0" applyNumberFormat="1" applyProtection="1">
      <protection hidden="1"/>
    </xf>
    <xf numFmtId="0" fontId="0" fillId="0" borderId="0" xfId="0" applyBorder="1" applyAlignment="1" applyProtection="1">
      <protection hidden="1"/>
    </xf>
    <xf numFmtId="4" fontId="4" fillId="0" borderId="0" xfId="0" applyNumberFormat="1" applyFont="1" applyProtection="1">
      <protection hidden="1"/>
    </xf>
    <xf numFmtId="169" fontId="0" fillId="0" borderId="0" xfId="0" applyNumberFormat="1" applyFill="1" applyBorder="1" applyProtection="1">
      <protection hidden="1"/>
    </xf>
    <xf numFmtId="3" fontId="0" fillId="6" borderId="136" xfId="0" applyNumberFormat="1" applyFont="1" applyFill="1" applyBorder="1" applyAlignment="1" applyProtection="1">
      <alignment horizontal="center"/>
      <protection hidden="1"/>
    </xf>
    <xf numFmtId="3" fontId="4" fillId="6" borderId="140" xfId="0" applyNumberFormat="1" applyFont="1" applyFill="1" applyBorder="1" applyAlignment="1" applyProtection="1">
      <alignment horizontal="center"/>
      <protection hidden="1"/>
    </xf>
    <xf numFmtId="3" fontId="4" fillId="0" borderId="141" xfId="0" applyNumberFormat="1" applyFont="1" applyBorder="1" applyAlignment="1" applyProtection="1">
      <alignment horizontal="center"/>
      <protection hidden="1"/>
    </xf>
    <xf numFmtId="3" fontId="4" fillId="6" borderId="141" xfId="0" applyNumberFormat="1" applyFont="1" applyFill="1" applyBorder="1" applyAlignment="1" applyProtection="1">
      <alignment horizontal="center"/>
      <protection hidden="1"/>
    </xf>
    <xf numFmtId="3" fontId="19" fillId="0" borderId="135" xfId="0" applyNumberFormat="1" applyFont="1" applyBorder="1" applyAlignment="1" applyProtection="1">
      <alignment horizontal="center"/>
      <protection hidden="1"/>
    </xf>
    <xf numFmtId="3" fontId="19" fillId="0" borderId="67" xfId="0" applyNumberFormat="1" applyFont="1" applyBorder="1" applyAlignment="1" applyProtection="1">
      <alignment horizontal="center"/>
      <protection hidden="1"/>
    </xf>
    <xf numFmtId="3" fontId="19" fillId="0" borderId="139" xfId="0" applyNumberFormat="1" applyFont="1" applyBorder="1" applyAlignment="1" applyProtection="1">
      <alignment horizontal="center"/>
      <protection hidden="1"/>
    </xf>
    <xf numFmtId="3" fontId="19" fillId="0" borderId="142" xfId="0" applyNumberFormat="1" applyFont="1" applyBorder="1" applyAlignment="1" applyProtection="1">
      <alignment horizontal="center"/>
      <protection hidden="1"/>
    </xf>
    <xf numFmtId="0" fontId="27" fillId="0" borderId="105" xfId="0" applyNumberFormat="1" applyFont="1" applyFill="1" applyBorder="1" applyAlignment="1" applyProtection="1">
      <alignment horizontal="center" textRotation="90" wrapText="1"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20" xfId="9" applyFont="1" applyBorder="1" applyAlignment="1" applyProtection="1">
      <alignment horizontal="center"/>
      <protection hidden="1"/>
    </xf>
    <xf numFmtId="0" fontId="22" fillId="0" borderId="129" xfId="9" applyFont="1" applyBorder="1" applyAlignment="1" applyProtection="1">
      <alignment horizontal="center"/>
      <protection hidden="1"/>
    </xf>
    <xf numFmtId="4" fontId="22" fillId="0" borderId="20" xfId="9" applyNumberFormat="1" applyFont="1" applyBorder="1" applyAlignment="1" applyProtection="1">
      <alignment horizontal="center"/>
      <protection hidden="1"/>
    </xf>
    <xf numFmtId="4" fontId="22" fillId="0" borderId="129" xfId="9" applyNumberFormat="1" applyFont="1" applyBorder="1" applyAlignment="1" applyProtection="1">
      <alignment horizontal="center"/>
      <protection hidden="1"/>
    </xf>
    <xf numFmtId="3" fontId="2" fillId="0" borderId="97" xfId="0" applyNumberFormat="1" applyFont="1" applyFill="1" applyBorder="1" applyAlignment="1" applyProtection="1">
      <alignment horizontal="center"/>
      <protection hidden="1"/>
    </xf>
    <xf numFmtId="3" fontId="8" fillId="0" borderId="44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3" fontId="8" fillId="0" borderId="48" xfId="0" applyNumberFormat="1" applyFont="1" applyFill="1" applyBorder="1" applyAlignment="1">
      <alignment horizontal="center"/>
    </xf>
    <xf numFmtId="4" fontId="2" fillId="7" borderId="136" xfId="0" applyNumberFormat="1" applyFont="1" applyFill="1" applyBorder="1" applyAlignment="1" applyProtection="1">
      <alignment horizontal="center"/>
      <protection hidden="1"/>
    </xf>
    <xf numFmtId="4" fontId="31" fillId="0" borderId="147" xfId="22" applyNumberFormat="1" applyFont="1" applyFill="1" applyBorder="1" applyAlignment="1" applyProtection="1">
      <alignment horizontal="center"/>
      <protection hidden="1"/>
    </xf>
    <xf numFmtId="4" fontId="31" fillId="0" borderId="148" xfId="22" applyNumberFormat="1" applyFont="1" applyFill="1" applyBorder="1" applyAlignment="1" applyProtection="1">
      <alignment horizontal="center"/>
      <protection hidden="1"/>
    </xf>
    <xf numFmtId="4" fontId="31" fillId="0" borderId="152" xfId="22" applyNumberFormat="1" applyFont="1" applyFill="1" applyBorder="1" applyAlignment="1" applyProtection="1">
      <alignment horizontal="center"/>
      <protection hidden="1"/>
    </xf>
    <xf numFmtId="4" fontId="31" fillId="0" borderId="132" xfId="22" applyNumberFormat="1" applyFont="1" applyFill="1" applyBorder="1" applyAlignment="1" applyProtection="1">
      <alignment horizontal="center"/>
      <protection hidden="1"/>
    </xf>
    <xf numFmtId="4" fontId="31" fillId="0" borderId="155" xfId="22" applyNumberFormat="1" applyFont="1" applyFill="1" applyBorder="1" applyAlignment="1" applyProtection="1">
      <alignment horizontal="center"/>
      <protection hidden="1"/>
    </xf>
    <xf numFmtId="4" fontId="31" fillId="0" borderId="146" xfId="22" applyNumberFormat="1" applyFont="1" applyFill="1" applyBorder="1" applyAlignment="1" applyProtection="1">
      <alignment horizontal="center"/>
      <protection hidden="1"/>
    </xf>
    <xf numFmtId="4" fontId="31" fillId="0" borderId="149" xfId="22" applyNumberFormat="1" applyFont="1" applyFill="1" applyBorder="1" applyAlignment="1" applyProtection="1">
      <alignment horizontal="center"/>
      <protection hidden="1"/>
    </xf>
    <xf numFmtId="4" fontId="31" fillId="0" borderId="153" xfId="22" applyNumberFormat="1" applyFont="1" applyFill="1" applyBorder="1" applyAlignment="1" applyProtection="1">
      <alignment horizontal="center"/>
      <protection hidden="1"/>
    </xf>
    <xf numFmtId="4" fontId="31" fillId="0" borderId="131" xfId="22" applyNumberFormat="1" applyFont="1" applyFill="1" applyBorder="1" applyAlignment="1" applyProtection="1">
      <alignment horizontal="center"/>
      <protection hidden="1"/>
    </xf>
    <xf numFmtId="4" fontId="31" fillId="0" borderId="156" xfId="22" applyNumberFormat="1" applyFont="1" applyFill="1" applyBorder="1" applyAlignment="1" applyProtection="1">
      <alignment horizontal="center"/>
      <protection hidden="1"/>
    </xf>
    <xf numFmtId="4" fontId="31" fillId="0" borderId="150" xfId="22" applyNumberFormat="1" applyFont="1" applyFill="1" applyBorder="1" applyAlignment="1" applyProtection="1">
      <alignment horizontal="center"/>
      <protection hidden="1"/>
    </xf>
    <xf numFmtId="4" fontId="31" fillId="0" borderId="151" xfId="22" applyNumberFormat="1" applyFont="1" applyFill="1" applyBorder="1" applyAlignment="1" applyProtection="1">
      <alignment horizontal="center"/>
      <protection hidden="1"/>
    </xf>
    <xf numFmtId="4" fontId="31" fillId="0" borderId="154" xfId="22" applyNumberFormat="1" applyFont="1" applyFill="1" applyBorder="1" applyAlignment="1" applyProtection="1">
      <alignment horizontal="center"/>
      <protection hidden="1"/>
    </xf>
    <xf numFmtId="4" fontId="31" fillId="0" borderId="130" xfId="22" applyNumberFormat="1" applyFont="1" applyFill="1" applyBorder="1" applyAlignment="1" applyProtection="1">
      <alignment horizontal="center"/>
      <protection hidden="1"/>
    </xf>
    <xf numFmtId="4" fontId="31" fillId="0" borderId="157" xfId="22" applyNumberFormat="1" applyFont="1" applyFill="1" applyBorder="1" applyAlignment="1" applyProtection="1">
      <alignment horizontal="center"/>
      <protection hidden="1"/>
    </xf>
  </cellXfs>
  <cellStyles count="26">
    <cellStyle name="Comma" xfId="1"/>
    <cellStyle name="Comma[0]" xfId="2"/>
    <cellStyle name="Currency" xfId="3"/>
    <cellStyle name="Currency[0]" xfId="4"/>
    <cellStyle name="Euro" xfId="10"/>
    <cellStyle name="Excel Built-in Comma" xfId="13"/>
    <cellStyle name="Heading" xfId="14"/>
    <cellStyle name="Heading 1" xfId="15"/>
    <cellStyle name="Heading1" xfId="16"/>
    <cellStyle name="Heading1 2" xfId="17"/>
    <cellStyle name="Millares 2" xfId="23"/>
    <cellStyle name="Normal" xfId="0" builtinId="0"/>
    <cellStyle name="Normal 2" xfId="5"/>
    <cellStyle name="Normal 2 2" xfId="6"/>
    <cellStyle name="Normal 2 3" xfId="22"/>
    <cellStyle name="Normal 3" xfId="7"/>
    <cellStyle name="Normal 3 2" xfId="24"/>
    <cellStyle name="Normal 4" xfId="9"/>
    <cellStyle name="Normal 5" xfId="12"/>
    <cellStyle name="Percent" xfId="8"/>
    <cellStyle name="Porcentaje" xfId="11" builtinId="5"/>
    <cellStyle name="Porcentual 2" xfId="25"/>
    <cellStyle name="Result" xfId="18"/>
    <cellStyle name="Result 3" xfId="19"/>
    <cellStyle name="Result2" xfId="20"/>
    <cellStyle name="Result2 4" xfId="21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dashed">
          <color rgb="FF000000"/>
        </bottom>
        <vertical/>
        <horizontal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dashed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font>
        <condense val="0"/>
        <extend val="0"/>
        <color rgb="FF9C000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/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auto="1"/>
        </top>
        <bottom style="dashed">
          <color auto="1"/>
        </bottom>
      </border>
    </dxf>
    <dxf>
      <border>
        <top style="dashed">
          <color theme="1"/>
        </top>
        <vertical/>
        <horizontal/>
      </border>
    </dxf>
    <dxf>
      <border diagonalUp="0" diagonalDown="0">
        <left style="medium">
          <color theme="1"/>
        </left>
        <right style="medium">
          <color indexed="64"/>
        </right>
        <top style="medium">
          <color theme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dashed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theme="5"/>
          <bgColor theme="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Estilo de tabla 1" pivot="0" count="1">
      <tableStyleElement type="firstRowStripe" dxfId="155"/>
    </tableStyle>
  </tableStyles>
  <colors>
    <mruColors>
      <color rgb="FFFF6600"/>
      <color rgb="FF753805"/>
      <color rgb="FF800000"/>
      <color rgb="FFE2E2E2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17C-454A-9F89-20CB4D869E6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917C-454A-9F89-20CB4D869E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17C-454A-9F89-20CB4D869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17C-454A-9F89-20CB4D869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17C-454A-9F89-20CB4D869E60}"/>
              </c:ext>
            </c:extLst>
          </c:dPt>
          <c:cat>
            <c:strRef>
              <c:f>('RESUM 2021'!$A$3,'RESUM 2021'!$A$10,'RESUM 2021'!$A$17,'RESUM 2021'!$A$24,'RESUM 2021'!$A$31)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2021'!$N$4,'RESUM 2021'!$N$11,'RESUM 2021'!$N$18,'RESUM 2021'!$N$25,'RESUM 2021'!$N$32)</c:f>
              <c:numCache>
                <c:formatCode>#,##0</c:formatCode>
                <c:ptCount val="5"/>
                <c:pt idx="0">
                  <c:v>4942041.08</c:v>
                </c:pt>
                <c:pt idx="1">
                  <c:v>5575107.7299999995</c:v>
                </c:pt>
                <c:pt idx="2">
                  <c:v>5541900.5999999987</c:v>
                </c:pt>
                <c:pt idx="3">
                  <c:v>14364260</c:v>
                </c:pt>
                <c:pt idx="4">
                  <c:v>5812523.8599999994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7C-454A-9F89-20CB4D869E60}"/>
            </c:ext>
          </c:extLst>
        </c:ser>
        <c:ser>
          <c:idx val="1"/>
          <c:order val="1"/>
          <c:tx>
            <c:v>2018</c:v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17C-454A-9F89-20CB4D869E6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917C-454A-9F89-20CB4D869E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17C-454A-9F89-20CB4D869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17C-454A-9F89-20CB4D869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17C-454A-9F89-20CB4D869E60}"/>
              </c:ext>
            </c:extLst>
          </c:dPt>
          <c:cat>
            <c:strRef>
              <c:f>('RESUM 2021'!$A$3,'RESUM 2021'!$A$10,'RESUM 2021'!$A$17,'RESUM 2021'!$A$24,'RESUM 2021'!$A$31)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2021'!$N$5,'RESUM 2021'!$N$12,'RESUM 2021'!$N$19,'RESUM 2021'!$N$26,'RESUM 2021'!$N$33)</c:f>
              <c:numCache>
                <c:formatCode>#,##0</c:formatCode>
                <c:ptCount val="5"/>
                <c:pt idx="0">
                  <c:v>6013570.9999999991</c:v>
                </c:pt>
                <c:pt idx="1">
                  <c:v>5928109.8777639745</c:v>
                </c:pt>
                <c:pt idx="2">
                  <c:v>5658040.7699999996</c:v>
                </c:pt>
                <c:pt idx="3">
                  <c:v>15207098</c:v>
                </c:pt>
                <c:pt idx="4">
                  <c:v>5697171.0299999993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7C-454A-9F89-20CB4D869E60}"/>
            </c:ext>
          </c:extLst>
        </c:ser>
        <c:ser>
          <c:idx val="2"/>
          <c:order val="2"/>
          <c:tx>
            <c:v>2019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FE5C-42D5-B4C6-AC121F02C8C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E5C-42D5-B4C6-AC121F02C8CC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E5C-42D5-B4C6-AC121F02C8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E5C-42D5-B4C6-AC121F02C8CC}"/>
              </c:ext>
            </c:extLst>
          </c:dPt>
          <c:cat>
            <c:strRef>
              <c:f>('RESUM 2021'!$A$3,'RESUM 2021'!$A$10,'RESUM 2021'!$A$17,'RESUM 2021'!$A$24,'RESUM 2021'!$A$31)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2021'!$N$6,'RESUM 2021'!$N$13,'RESUM 2021'!$N$20,'RESUM 2021'!$N$27,'RESUM 2021'!$N$34)</c:f>
              <c:numCache>
                <c:formatCode>#,##0</c:formatCode>
                <c:ptCount val="5"/>
                <c:pt idx="0">
                  <c:v>7250915.5699999984</c:v>
                </c:pt>
                <c:pt idx="1">
                  <c:v>6429631.7979999995</c:v>
                </c:pt>
                <c:pt idx="2">
                  <c:v>5865099.9999999991</c:v>
                </c:pt>
                <c:pt idx="3">
                  <c:v>12866677.82</c:v>
                </c:pt>
                <c:pt idx="4">
                  <c:v>5559130.04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5C-42D5-B4C6-AC121F02C8CC}"/>
            </c:ext>
          </c:extLst>
        </c:ser>
        <c:ser>
          <c:idx val="3"/>
          <c:order val="3"/>
          <c:tx>
            <c:v>2020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E-55AB-4E6F-9A45-5D5FFCB0351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5AB-4E6F-9A45-5D5FFCB0351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0-55AB-4E6F-9A45-5D5FFCB0351B}"/>
              </c:ext>
            </c:extLst>
          </c:dPt>
          <c:dPt>
            <c:idx val="4"/>
            <c:invertIfNegative val="0"/>
            <c:bubble3D val="0"/>
            <c:spPr>
              <a:solidFill>
                <a:srgbClr val="753805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5AB-4E6F-9A45-5D5FFCB0351B}"/>
              </c:ext>
            </c:extLst>
          </c:dPt>
          <c:cat>
            <c:strRef>
              <c:f>('RESUM 2021'!$A$3,'RESUM 2021'!$A$10,'RESUM 2021'!$A$17,'RESUM 2021'!$A$24,'RESUM 2021'!$A$31)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2021'!$N$7,'RESUM 2021'!$N$14,'RESUM 2021'!$N$21,'RESUM 2021'!$N$28,'RESUM 2021'!$N$35)</c:f>
              <c:numCache>
                <c:formatCode>#,##0</c:formatCode>
                <c:ptCount val="5"/>
                <c:pt idx="0">
                  <c:v>8372094.2899999982</c:v>
                </c:pt>
                <c:pt idx="1">
                  <c:v>7431100.1900000004</c:v>
                </c:pt>
                <c:pt idx="2">
                  <c:v>6711220.0200000005</c:v>
                </c:pt>
                <c:pt idx="3">
                  <c:v>13694820.1</c:v>
                </c:pt>
                <c:pt idx="4">
                  <c:v>6073854.0300000003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5AB-4E6F-9A45-5D5FFCB0351B}"/>
            </c:ext>
          </c:extLst>
        </c:ser>
        <c:ser>
          <c:idx val="4"/>
          <c:order val="4"/>
          <c:tx>
            <c:strRef>
              <c:f>'RESUM 2021'!$A$8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3-55AB-4E6F-9A45-5D5FFCB0351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55AB-4E6F-9A45-5D5FFCB0351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55AB-4E6F-9A45-5D5FFCB0351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6-55AB-4E6F-9A45-5D5FFCB0351B}"/>
              </c:ext>
            </c:extLst>
          </c:dPt>
          <c:cat>
            <c:strRef>
              <c:f>('RESUM 2021'!$A$3,'RESUM 2021'!$A$10,'RESUM 2021'!$A$17,'RESUM 2021'!$A$24,'RESUM 2021'!$A$31)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2021'!$N$8,'RESUM 2021'!$N$15,'RESUM 2021'!$N$22,'RESUM 2021'!$N$29,'RESUM 2021'!$N$36)</c:f>
              <c:numCache>
                <c:formatCode>#,##0</c:formatCode>
                <c:ptCount val="5"/>
                <c:pt idx="0">
                  <c:v>6680479.9399999995</c:v>
                </c:pt>
                <c:pt idx="1">
                  <c:v>6308422.0899999999</c:v>
                </c:pt>
                <c:pt idx="2">
                  <c:v>5531569.9999999991</c:v>
                </c:pt>
                <c:pt idx="3">
                  <c:v>11650878.01</c:v>
                </c:pt>
                <c:pt idx="4">
                  <c:v>4962929.9800000004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5AB-4E6F-9A45-5D5FFCB03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2872320"/>
        <c:axId val="72873856"/>
      </c:barChart>
      <c:catAx>
        <c:axId val="7287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873856"/>
        <c:crosses val="autoZero"/>
        <c:auto val="1"/>
        <c:lblAlgn val="ctr"/>
        <c:lblOffset val="100"/>
        <c:noMultiLvlLbl val="0"/>
      </c:catAx>
      <c:valAx>
        <c:axId val="72873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7287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2021-2020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RMO!$B$45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6.8376068376068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0A-4C17-BFA0-FB452F56868E}"/>
                </c:ext>
              </c:extLst>
            </c:dLbl>
            <c:dLbl>
              <c:idx val="4"/>
              <c:layout>
                <c:manualLayout>
                  <c:x val="-1.1946160576081801E-2"/>
                  <c:y val="-1.3245078740158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0A-4C17-BFA0-FB452F56868E}"/>
                </c:ext>
              </c:extLst>
            </c:dLbl>
            <c:dLbl>
              <c:idx val="5"/>
              <c:layout>
                <c:manualLayout>
                  <c:x val="3.5501246991428976E-3"/>
                  <c:y val="-1.2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0A-4C17-BFA0-FB452F56868E}"/>
                </c:ext>
              </c:extLst>
            </c:dLbl>
            <c:dLbl>
              <c:idx val="8"/>
              <c:layout>
                <c:manualLayout>
                  <c:x val="8.3569784832139518E-17"/>
                  <c:y val="-2.08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0A-4C17-BFA0-FB452F56868E}"/>
                </c:ext>
              </c:extLst>
            </c:dLbl>
            <c:dLbl>
              <c:idx val="9"/>
              <c:layout>
                <c:manualLayout>
                  <c:x val="9.0836736694218656E-3"/>
                  <c:y val="-2.5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0A-4C17-BFA0-FB452F56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1107820</c:v>
                </c:pt>
                <c:pt idx="1">
                  <c:v>987120</c:v>
                </c:pt>
                <c:pt idx="2">
                  <c:v>1097660</c:v>
                </c:pt>
                <c:pt idx="3">
                  <c:v>1195580</c:v>
                </c:pt>
                <c:pt idx="4">
                  <c:v>1236660</c:v>
                </c:pt>
                <c:pt idx="5">
                  <c:v>1260060.1000000001</c:v>
                </c:pt>
                <c:pt idx="6">
                  <c:v>1224420</c:v>
                </c:pt>
                <c:pt idx="7">
                  <c:v>1162340</c:v>
                </c:pt>
                <c:pt idx="8">
                  <c:v>1103480</c:v>
                </c:pt>
                <c:pt idx="9">
                  <c:v>1114620</c:v>
                </c:pt>
                <c:pt idx="10">
                  <c:v>1091280</c:v>
                </c:pt>
                <c:pt idx="11">
                  <c:v>1113780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0A-4C17-BFA0-FB452F56868E}"/>
            </c:ext>
          </c:extLst>
        </c:ser>
        <c:ser>
          <c:idx val="41"/>
          <c:order val="1"/>
          <c:tx>
            <c:strRef>
              <c:f>RMO!$B$44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867314458033181E-2"/>
                  <c:y val="-1.755532174857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C0A-4C17-BFA0-FB452F56868E}"/>
                </c:ext>
              </c:extLst>
            </c:dLbl>
            <c:dLbl>
              <c:idx val="1"/>
              <c:layout>
                <c:manualLayout>
                  <c:x val="9.73709834469328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C0A-4C17-BFA0-FB452F56868E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910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0A-4C17-BFA0-FB452F56868E}"/>
                </c:ext>
              </c:extLst>
            </c:dLbl>
            <c:dLbl>
              <c:idx val="3"/>
              <c:layout>
                <c:manualLayout>
                  <c:x val="9.1168091168094267E-3"/>
                  <c:y val="-3.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C0A-4C17-BFA0-FB452F56868E}"/>
                </c:ext>
              </c:extLst>
            </c:dLbl>
            <c:dLbl>
              <c:idx val="4"/>
              <c:layout>
                <c:manualLayout>
                  <c:x val="7.66283524904214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C0A-4C17-BFA0-FB452F56868E}"/>
                </c:ext>
              </c:extLst>
            </c:dLbl>
            <c:dLbl>
              <c:idx val="5"/>
              <c:layout>
                <c:manualLayout>
                  <c:x val="6.6390041493775932E-3"/>
                  <c:y val="-8.3333333333333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C0A-4C17-BFA0-FB452F56868E}"/>
                </c:ext>
              </c:extLst>
            </c:dLbl>
            <c:dLbl>
              <c:idx val="6"/>
              <c:layout>
                <c:manualLayout>
                  <c:x val="2.21300138312585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94-4578-A7DB-DE0F4E374A61}"/>
                </c:ext>
              </c:extLst>
            </c:dLbl>
            <c:dLbl>
              <c:idx val="7"/>
              <c:layout>
                <c:manualLayout>
                  <c:x val="1.823365025429904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C0A-4C17-BFA0-FB452F56868E}"/>
                </c:ext>
              </c:extLst>
            </c:dLbl>
            <c:dLbl>
              <c:idx val="8"/>
              <c:layout>
                <c:manualLayout>
                  <c:x val="1.2535612535612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C0A-4C17-BFA0-FB452F56868E}"/>
                </c:ext>
              </c:extLst>
            </c:dLbl>
            <c:dLbl>
              <c:idx val="9"/>
              <c:layout>
                <c:manualLayout>
                  <c:x val="2.7350427350427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C0A-4C17-BFA0-FB452F56868E}"/>
                </c:ext>
              </c:extLst>
            </c:dLbl>
            <c:dLbl>
              <c:idx val="11"/>
              <c:layout>
                <c:manualLayout>
                  <c:x val="2.051282051282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C0A-4C17-BFA0-FB452F56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RMO!$C$44:$N$44</c:f>
              <c:numCache>
                <c:formatCode>#,##0</c:formatCode>
                <c:ptCount val="12"/>
                <c:pt idx="0">
                  <c:v>1082420</c:v>
                </c:pt>
                <c:pt idx="1">
                  <c:v>984360.01</c:v>
                </c:pt>
                <c:pt idx="2">
                  <c:v>1175640</c:v>
                </c:pt>
                <c:pt idx="3">
                  <c:v>1120218</c:v>
                </c:pt>
                <c:pt idx="4">
                  <c:v>1237280</c:v>
                </c:pt>
                <c:pt idx="5">
                  <c:v>1206140</c:v>
                </c:pt>
                <c:pt idx="6">
                  <c:v>1204900</c:v>
                </c:pt>
                <c:pt idx="7">
                  <c:v>1124120</c:v>
                </c:pt>
                <c:pt idx="8">
                  <c:v>1116260</c:v>
                </c:pt>
                <c:pt idx="9">
                  <c:v>1399540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C0A-4C17-BFA0-FB452F56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5313920"/>
        <c:axId val="95315456"/>
        <c:axId val="0"/>
      </c:bar3DChart>
      <c:catAx>
        <c:axId val="953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5456"/>
        <c:crosses val="autoZero"/>
        <c:auto val="1"/>
        <c:lblAlgn val="ctr"/>
        <c:lblOffset val="100"/>
        <c:noMultiLvlLbl val="0"/>
      </c:catAx>
      <c:valAx>
        <c:axId val="95315456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3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1877" l="0.7086614173228547" r="0.7086614173228547" t="0.74803149606301877" header="0.31496062992127516" footer="0.314960629921275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2021-2020</a:t>
            </a:r>
          </a:p>
        </c:rich>
      </c:tx>
      <c:layout>
        <c:manualLayout>
          <c:xMode val="edge"/>
          <c:yMode val="edge"/>
          <c:x val="0.44307909172467841"/>
          <c:y val="2.58620689655172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RMO!$B$45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2.1667937029663683E-2"/>
                  <c:y val="-4.655172413793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7F-4A99-8E74-3705E0C3C16B}"/>
                </c:ext>
              </c:extLst>
            </c:dLbl>
            <c:dLbl>
              <c:idx val="3"/>
              <c:layout>
                <c:manualLayout>
                  <c:x val="-1.1405759908754321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7F-4A99-8E74-3705E0C3C16B}"/>
                </c:ext>
              </c:extLst>
            </c:dLbl>
            <c:dLbl>
              <c:idx val="4"/>
              <c:layout>
                <c:manualLayout>
                  <c:x val="-5.1085568326947684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7F-4A99-8E74-3705E0C3C16B}"/>
                </c:ext>
              </c:extLst>
            </c:dLbl>
            <c:dLbl>
              <c:idx val="5"/>
              <c:layout>
                <c:manualLayout>
                  <c:x val="1.1494252873563218E-2"/>
                  <c:y val="4.0470481061491112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7F-4A99-8E74-3705E0C3C16B}"/>
                </c:ext>
              </c:extLst>
            </c:dLbl>
            <c:dLbl>
              <c:idx val="7"/>
              <c:layout>
                <c:manualLayout>
                  <c:x val="0"/>
                  <c:y val="-3.64583333333334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7F-4A99-8E74-3705E0C3C16B}"/>
                </c:ext>
              </c:extLst>
            </c:dLbl>
            <c:dLbl>
              <c:idx val="9"/>
              <c:layout>
                <c:manualLayout>
                  <c:x val="0"/>
                  <c:y val="3.750000000000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7F-4A99-8E74-3705E0C3C16B}"/>
                </c:ext>
              </c:extLst>
            </c:dLbl>
            <c:dLbl>
              <c:idx val="10"/>
              <c:layout>
                <c:manualLayout>
                  <c:x val="0"/>
                  <c:y val="-1.597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B7F-4A99-8E74-3705E0C3C1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1107820</c:v>
                </c:pt>
                <c:pt idx="1">
                  <c:v>987120</c:v>
                </c:pt>
                <c:pt idx="2">
                  <c:v>1097660</c:v>
                </c:pt>
                <c:pt idx="3">
                  <c:v>1195580</c:v>
                </c:pt>
                <c:pt idx="4">
                  <c:v>1236660</c:v>
                </c:pt>
                <c:pt idx="5">
                  <c:v>1260060.1000000001</c:v>
                </c:pt>
                <c:pt idx="6">
                  <c:v>1224420</c:v>
                </c:pt>
                <c:pt idx="7">
                  <c:v>1162340</c:v>
                </c:pt>
                <c:pt idx="8">
                  <c:v>1103480</c:v>
                </c:pt>
                <c:pt idx="9">
                  <c:v>1114620</c:v>
                </c:pt>
                <c:pt idx="10">
                  <c:v>1091280</c:v>
                </c:pt>
                <c:pt idx="11">
                  <c:v>1113780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F-4A99-8E74-3705E0C3C16B}"/>
            </c:ext>
          </c:extLst>
        </c:ser>
        <c:ser>
          <c:idx val="41"/>
          <c:order val="1"/>
          <c:tx>
            <c:strRef>
              <c:f>RMO!$B$1</c:f>
              <c:strCache>
                <c:ptCount val="1"/>
                <c:pt idx="0">
                  <c:v>RMO - 2021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6.7954080590225934E-3"/>
                  <c:y val="-5.074507874015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B7F-4A99-8E74-3705E0C3C16B}"/>
                </c:ext>
              </c:extLst>
            </c:dLbl>
            <c:dLbl>
              <c:idx val="1"/>
              <c:layout>
                <c:manualLayout>
                  <c:x val="-1.08242680088759E-3"/>
                  <c:y val="3.47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7F-4A99-8E74-3705E0C3C16B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91112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B7F-4A99-8E74-3705E0C3C16B}"/>
                </c:ext>
              </c:extLst>
            </c:dLbl>
            <c:dLbl>
              <c:idx val="3"/>
              <c:layout>
                <c:manualLayout>
                  <c:x val="-1.4827487881380101E-2"/>
                  <c:y val="-4.16666666666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B7F-4A99-8E74-3705E0C3C16B}"/>
                </c:ext>
              </c:extLst>
            </c:dLbl>
            <c:dLbl>
              <c:idx val="4"/>
              <c:layout>
                <c:manualLayout>
                  <c:x val="4.2411465033937133E-3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B7F-4A99-8E74-3705E0C3C16B}"/>
                </c:ext>
              </c:extLst>
            </c:dLbl>
            <c:dLbl>
              <c:idx val="5"/>
              <c:layout>
                <c:manualLayout>
                  <c:x val="0"/>
                  <c:y val="1.9791666666666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B7F-4A99-8E74-3705E0C3C16B}"/>
                </c:ext>
              </c:extLst>
            </c:dLbl>
            <c:dLbl>
              <c:idx val="6"/>
              <c:layout>
                <c:manualLayout>
                  <c:x val="-6.6423115244105763E-3"/>
                  <c:y val="2.9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9C-4F01-88F9-351554C4DEE7}"/>
                </c:ext>
              </c:extLst>
            </c:dLbl>
            <c:dLbl>
              <c:idx val="7"/>
              <c:layout>
                <c:manualLayout>
                  <c:x val="-1.0824701379282091E-3"/>
                  <c:y val="2.9511154855643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B7F-4A99-8E74-3705E0C3C16B}"/>
                </c:ext>
              </c:extLst>
            </c:dLbl>
            <c:dLbl>
              <c:idx val="8"/>
              <c:layout>
                <c:manualLayout>
                  <c:x val="-2.1053554457792661E-3"/>
                  <c:y val="-2.3437499999999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B7F-4A99-8E74-3705E0C3C16B}"/>
                </c:ext>
              </c:extLst>
            </c:dLbl>
            <c:dLbl>
              <c:idx val="9"/>
              <c:layout>
                <c:manualLayout>
                  <c:x val="1.1405759908754321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B7F-4A99-8E74-3705E0C3C16B}"/>
                </c:ext>
              </c:extLst>
            </c:dLbl>
            <c:dLbl>
              <c:idx val="10"/>
              <c:layout>
                <c:manualLayout>
                  <c:x val="0"/>
                  <c:y val="-4.77430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7F-4A99-8E74-3705E0C3C16B}"/>
                </c:ext>
              </c:extLst>
            </c:dLbl>
            <c:dLbl>
              <c:idx val="11"/>
              <c:layout>
                <c:manualLayout>
                  <c:x val="0"/>
                  <c:y val="-2.6041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4A-4767-8A6D-98D79CE4B8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RMO!$C$44:$L$44</c:f>
              <c:numCache>
                <c:formatCode>#,##0</c:formatCode>
                <c:ptCount val="10"/>
                <c:pt idx="0">
                  <c:v>1082420</c:v>
                </c:pt>
                <c:pt idx="1">
                  <c:v>984360.01</c:v>
                </c:pt>
                <c:pt idx="2">
                  <c:v>1175640</c:v>
                </c:pt>
                <c:pt idx="3">
                  <c:v>1120218</c:v>
                </c:pt>
                <c:pt idx="4">
                  <c:v>1237280</c:v>
                </c:pt>
                <c:pt idx="5">
                  <c:v>1206140</c:v>
                </c:pt>
                <c:pt idx="6">
                  <c:v>1204900</c:v>
                </c:pt>
                <c:pt idx="7">
                  <c:v>1124120</c:v>
                </c:pt>
                <c:pt idx="8">
                  <c:v>1116260</c:v>
                </c:pt>
                <c:pt idx="9">
                  <c:v>1399540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7F-4A99-8E74-3705E0C3C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6592"/>
        <c:axId val="82944768"/>
      </c:lineChart>
      <c:catAx>
        <c:axId val="829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944768"/>
        <c:crosses val="autoZero"/>
        <c:auto val="1"/>
        <c:lblAlgn val="ctr"/>
        <c:lblOffset val="100"/>
        <c:noMultiLvlLbl val="0"/>
      </c:catAx>
      <c:valAx>
        <c:axId val="82944768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926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 2021-2020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7713920817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0C-4DDD-BD33-06A8ECC3BDFE}"/>
                </c:ext>
              </c:extLst>
            </c:dLbl>
            <c:dLbl>
              <c:idx val="1"/>
              <c:layout>
                <c:manualLayout>
                  <c:x val="3.78635101259635E-3"/>
                  <c:y val="-7.2021207769870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0C-4DDD-BD33-06A8ECC3BDFE}"/>
                </c:ext>
              </c:extLst>
            </c:dLbl>
            <c:dLbl>
              <c:idx val="2"/>
              <c:layout>
                <c:manualLayout>
                  <c:x val="-1.1494252873563218E-2"/>
                  <c:y val="1.324503771707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0C-4DDD-BD33-06A8ECC3BDFE}"/>
                </c:ext>
              </c:extLst>
            </c:dLbl>
            <c:dLbl>
              <c:idx val="3"/>
              <c:layout>
                <c:manualLayout>
                  <c:x val="-5.1085568326947684E-3"/>
                  <c:y val="-1.3245385355855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0C-4DDD-BD33-06A8ECC3BDFE}"/>
                </c:ext>
              </c:extLst>
            </c:dLbl>
            <c:dLbl>
              <c:idx val="4"/>
              <c:layout>
                <c:manualLayout>
                  <c:x val="5.1085568326947684E-3"/>
                  <c:y val="-2.207506286178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0C-4DDD-BD33-06A8ECC3BDFE}"/>
                </c:ext>
              </c:extLst>
            </c:dLbl>
            <c:dLbl>
              <c:idx val="5"/>
              <c:layout>
                <c:manualLayout>
                  <c:x val="4.4260027662517288E-3"/>
                  <c:y val="-1.60428492950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0C-4DDD-BD33-06A8ECC3B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440780.04</c:v>
                </c:pt>
                <c:pt idx="1">
                  <c:v>433039.99</c:v>
                </c:pt>
                <c:pt idx="2">
                  <c:v>478840</c:v>
                </c:pt>
                <c:pt idx="3">
                  <c:v>534160</c:v>
                </c:pt>
                <c:pt idx="4">
                  <c:v>574699.99999999988</c:v>
                </c:pt>
                <c:pt idx="5">
                  <c:v>578519.99999999988</c:v>
                </c:pt>
                <c:pt idx="6">
                  <c:v>560240.01000000013</c:v>
                </c:pt>
                <c:pt idx="7">
                  <c:v>538654</c:v>
                </c:pt>
                <c:pt idx="8">
                  <c:v>508699.99</c:v>
                </c:pt>
                <c:pt idx="9">
                  <c:v>486720</c:v>
                </c:pt>
                <c:pt idx="10">
                  <c:v>479620</c:v>
                </c:pt>
                <c:pt idx="11">
                  <c:v>459880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0C-4DDD-BD33-06A8ECC3BDFE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775281504229298E-2"/>
                  <c:y val="-8.0710250201775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0C-4DDD-BD33-06A8ECC3BDFE}"/>
                </c:ext>
              </c:extLst>
            </c:dLbl>
            <c:dLbl>
              <c:idx val="1"/>
              <c:layout>
                <c:manualLayout>
                  <c:x val="7.39753898001851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0C-4DDD-BD33-06A8ECC3BDFE}"/>
                </c:ext>
              </c:extLst>
            </c:dLbl>
            <c:dLbl>
              <c:idx val="4"/>
              <c:layout>
                <c:manualLayout>
                  <c:x val="1.5886524822695043E-2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0C-4DDD-BD33-06A8ECC3BDFE}"/>
                </c:ext>
              </c:extLst>
            </c:dLbl>
            <c:dLbl>
              <c:idx val="5"/>
              <c:layout>
                <c:manualLayout>
                  <c:x val="1.14942528735632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0C-4DDD-BD33-06A8ECC3BDFE}"/>
                </c:ext>
              </c:extLst>
            </c:dLbl>
            <c:dLbl>
              <c:idx val="6"/>
              <c:layout>
                <c:manualLayout>
                  <c:x val="1.4026827858792407E-2"/>
                  <c:y val="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0C-4DDD-BD33-06A8ECC3BDFE}"/>
                </c:ext>
              </c:extLst>
            </c:dLbl>
            <c:dLbl>
              <c:idx val="7"/>
              <c:layout>
                <c:manualLayout>
                  <c:x val="1.0789867583686547E-2"/>
                  <c:y val="-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0C-4DDD-BD33-06A8ECC3BDFE}"/>
                </c:ext>
              </c:extLst>
            </c:dLbl>
            <c:dLbl>
              <c:idx val="8"/>
              <c:layout>
                <c:manualLayout>
                  <c:x val="4.5390070921988461E-3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0C-4DDD-BD33-06A8ECC3BDFE}"/>
                </c:ext>
              </c:extLst>
            </c:dLbl>
            <c:dLbl>
              <c:idx val="9"/>
              <c:layout>
                <c:manualLayout>
                  <c:x val="1.1347517730496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10C-4DDD-BD33-06A8ECC3BDFE}"/>
                </c:ext>
              </c:extLst>
            </c:dLbl>
            <c:dLbl>
              <c:idx val="10"/>
              <c:layout>
                <c:manualLayout>
                  <c:x val="6.4568200161420524E-3"/>
                  <c:y val="-3.2284100080710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61-4FC1-B9C8-1790480D0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430299.99999999994</c:v>
                </c:pt>
                <c:pt idx="1">
                  <c:v>424100</c:v>
                </c:pt>
                <c:pt idx="2">
                  <c:v>513779.99</c:v>
                </c:pt>
                <c:pt idx="3">
                  <c:v>507720</c:v>
                </c:pt>
                <c:pt idx="4">
                  <c:v>571600.01</c:v>
                </c:pt>
                <c:pt idx="5">
                  <c:v>545060</c:v>
                </c:pt>
                <c:pt idx="6">
                  <c:v>514319.99</c:v>
                </c:pt>
                <c:pt idx="7">
                  <c:v>483699.99</c:v>
                </c:pt>
                <c:pt idx="8">
                  <c:v>476529.99999999994</c:v>
                </c:pt>
                <c:pt idx="9">
                  <c:v>495819.99999999994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0C-4DDD-BD33-06A8ECC3B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0010240"/>
        <c:axId val="100024320"/>
        <c:axId val="0"/>
      </c:bar3DChart>
      <c:catAx>
        <c:axId val="1000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024320"/>
        <c:crosses val="autoZero"/>
        <c:auto val="1"/>
        <c:lblAlgn val="ctr"/>
        <c:lblOffset val="100"/>
        <c:noMultiLvlLbl val="0"/>
      </c:catAx>
      <c:valAx>
        <c:axId val="10002432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010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2021-2020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2.9501633126119493E-2"/>
                  <c:y val="-3.6420559059912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BB-4086-84FD-33181D7B1DB4}"/>
                </c:ext>
              </c:extLst>
            </c:dLbl>
            <c:dLbl>
              <c:idx val="1"/>
              <c:layout>
                <c:manualLayout>
                  <c:x val="-1.5421406272166699E-2"/>
                  <c:y val="-2.1865376225170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BB-4086-84FD-33181D7B1DB4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BB-4086-84FD-33181D7B1DB4}"/>
                </c:ext>
              </c:extLst>
            </c:dLbl>
            <c:dLbl>
              <c:idx val="3"/>
              <c:layout>
                <c:manualLayout>
                  <c:x val="-4.5274476513865311E-3"/>
                  <c:y val="-1.966568338249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BB-4086-84FD-33181D7B1DB4}"/>
                </c:ext>
              </c:extLst>
            </c:dLbl>
            <c:dLbl>
              <c:idx val="4"/>
              <c:layout>
                <c:manualLayout>
                  <c:x val="-2.3922990859386543E-2"/>
                  <c:y val="-3.015745077409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BB-4086-84FD-33181D7B1DB4}"/>
                </c:ext>
              </c:extLst>
            </c:dLbl>
            <c:dLbl>
              <c:idx val="5"/>
              <c:layout>
                <c:manualLayout>
                  <c:x val="-8.5790884718500021E-3"/>
                  <c:y val="-1.205222504319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BB-4086-84FD-33181D7B1DB4}"/>
                </c:ext>
              </c:extLst>
            </c:dLbl>
            <c:dLbl>
              <c:idx val="8"/>
              <c:layout>
                <c:manualLayout>
                  <c:x val="-2.1470746108427662E-3"/>
                  <c:y val="3.2236635656594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5BB-4086-84FD-33181D7B1DB4}"/>
                </c:ext>
              </c:extLst>
            </c:dLbl>
            <c:dLbl>
              <c:idx val="9"/>
              <c:layout>
                <c:manualLayout>
                  <c:x val="-4.352475264263465E-3"/>
                  <c:y val="2.1209151431178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5BB-4086-84FD-33181D7B1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440780.04</c:v>
                </c:pt>
                <c:pt idx="1">
                  <c:v>433039.99</c:v>
                </c:pt>
                <c:pt idx="2">
                  <c:v>478840</c:v>
                </c:pt>
                <c:pt idx="3">
                  <c:v>534160</c:v>
                </c:pt>
                <c:pt idx="4">
                  <c:v>574699.99999999988</c:v>
                </c:pt>
                <c:pt idx="5">
                  <c:v>578519.99999999988</c:v>
                </c:pt>
                <c:pt idx="6">
                  <c:v>560240.01000000013</c:v>
                </c:pt>
                <c:pt idx="7">
                  <c:v>538654</c:v>
                </c:pt>
                <c:pt idx="8">
                  <c:v>508699.99</c:v>
                </c:pt>
                <c:pt idx="9">
                  <c:v>486720</c:v>
                </c:pt>
                <c:pt idx="10">
                  <c:v>479620</c:v>
                </c:pt>
                <c:pt idx="11">
                  <c:v>459880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BB-4086-84FD-33181D7B1DB4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- 2021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8.4290380360341442E-3"/>
                  <c:y val="4.045169714045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5BB-4086-84FD-33181D7B1DB4}"/>
                </c:ext>
              </c:extLst>
            </c:dLbl>
            <c:dLbl>
              <c:idx val="1"/>
              <c:layout>
                <c:manualLayout>
                  <c:x val="-7.5989105302412671E-3"/>
                  <c:y val="1.410259073816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5BB-4086-84FD-33181D7B1DB4}"/>
                </c:ext>
              </c:extLst>
            </c:dLbl>
            <c:dLbl>
              <c:idx val="2"/>
              <c:layout>
                <c:manualLayout>
                  <c:x val="-8.0459150276640055E-3"/>
                  <c:y val="3.886666592086990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5BB-4086-84FD-33181D7B1DB4}"/>
                </c:ext>
              </c:extLst>
            </c:dLbl>
            <c:dLbl>
              <c:idx val="4"/>
              <c:layout>
                <c:manualLayout>
                  <c:x val="-8.838758844239597E-3"/>
                  <c:y val="3.9173884900644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514927223424215E-2"/>
                      <c:h val="4.70278178147095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75BB-4086-84FD-33181D7B1DB4}"/>
                </c:ext>
              </c:extLst>
            </c:dLbl>
            <c:dLbl>
              <c:idx val="5"/>
              <c:layout>
                <c:manualLayout>
                  <c:x val="-9.6514745308311067E-3"/>
                  <c:y val="4.888300231364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5BB-4086-84FD-33181D7B1DB4}"/>
                </c:ext>
              </c:extLst>
            </c:dLbl>
            <c:dLbl>
              <c:idx val="6"/>
              <c:layout>
                <c:manualLayout>
                  <c:x val="-2.3062455357330727E-3"/>
                  <c:y val="-2.2343666269184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5BB-4086-84FD-33181D7B1DB4}"/>
                </c:ext>
              </c:extLst>
            </c:dLbl>
            <c:dLbl>
              <c:idx val="7"/>
              <c:layout>
                <c:manualLayout>
                  <c:x val="-8.6109889949696726E-3"/>
                  <c:y val="4.146639540460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5BB-4086-84FD-33181D7B1DB4}"/>
                </c:ext>
              </c:extLst>
            </c:dLbl>
            <c:dLbl>
              <c:idx val="8"/>
              <c:layout>
                <c:manualLayout>
                  <c:x val="-3.2247539105921376E-3"/>
                  <c:y val="1.6349887594522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5BB-4086-84FD-33181D7B1DB4}"/>
                </c:ext>
              </c:extLst>
            </c:dLbl>
            <c:dLbl>
              <c:idx val="9"/>
              <c:layout>
                <c:manualLayout>
                  <c:x val="-2.5764895330112583E-2"/>
                  <c:y val="-2.151780383675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5BB-4086-84FD-33181D7B1DB4}"/>
                </c:ext>
              </c:extLst>
            </c:dLbl>
            <c:dLbl>
              <c:idx val="10"/>
              <c:layout>
                <c:manualLayout>
                  <c:x val="-7.5147611379496005E-3"/>
                  <c:y val="-2.452483139178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D0-4DA6-9DF9-D3DF02708A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FORM!$C$44:$L$44</c:f>
              <c:numCache>
                <c:formatCode>#,##0</c:formatCode>
                <c:ptCount val="10"/>
                <c:pt idx="0">
                  <c:v>430299.99999999994</c:v>
                </c:pt>
                <c:pt idx="1">
                  <c:v>424100</c:v>
                </c:pt>
                <c:pt idx="2">
                  <c:v>513779.99</c:v>
                </c:pt>
                <c:pt idx="3">
                  <c:v>507720</c:v>
                </c:pt>
                <c:pt idx="4">
                  <c:v>571600.01</c:v>
                </c:pt>
                <c:pt idx="5">
                  <c:v>545060</c:v>
                </c:pt>
                <c:pt idx="6">
                  <c:v>514319.99</c:v>
                </c:pt>
                <c:pt idx="7">
                  <c:v>483699.99</c:v>
                </c:pt>
                <c:pt idx="8">
                  <c:v>476529.99999999994</c:v>
                </c:pt>
                <c:pt idx="9">
                  <c:v>495819.99999999994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5BB-4086-84FD-33181D7B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9936"/>
        <c:axId val="99961472"/>
      </c:lineChart>
      <c:catAx>
        <c:axId val="999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9961472"/>
        <c:crosses val="autoZero"/>
        <c:auto val="1"/>
        <c:lblAlgn val="ctr"/>
        <c:lblOffset val="100"/>
        <c:noMultiLvlLbl val="0"/>
      </c:catAx>
      <c:valAx>
        <c:axId val="99961472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99599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Materials</a:t>
            </a:r>
            <a:r>
              <a:rPr lang="es-ES" baseline="0"/>
              <a:t> recollits (tn)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5"/>
          <c:order val="0"/>
          <c:tx>
            <c:v>2021</c:v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'MENSUAL DEIXALLERIES'!$A$5:$A$16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DEIXALLERIES'!$AA$5:$AA$16</c:f>
              <c:numCache>
                <c:formatCode>#,##0.00</c:formatCode>
                <c:ptCount val="12"/>
                <c:pt idx="0">
                  <c:v>2398.7786899999996</c:v>
                </c:pt>
                <c:pt idx="1">
                  <c:v>2645.6369399999994</c:v>
                </c:pt>
                <c:pt idx="2">
                  <c:v>3072.2676299999998</c:v>
                </c:pt>
                <c:pt idx="3">
                  <c:v>3087.9444000000003</c:v>
                </c:pt>
                <c:pt idx="4">
                  <c:v>3131.3678500000001</c:v>
                </c:pt>
                <c:pt idx="5">
                  <c:v>3045.5807299999997</c:v>
                </c:pt>
                <c:pt idx="6">
                  <c:v>3092.1087400000006</c:v>
                </c:pt>
                <c:pt idx="7">
                  <c:v>2822.4590499999999</c:v>
                </c:pt>
                <c:pt idx="8">
                  <c:v>2879.8752400000012</c:v>
                </c:pt>
                <c:pt idx="9">
                  <c:v>2680.8185200000003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6-4D03-A77E-07845AC62372}"/>
            </c:ext>
          </c:extLst>
        </c:ser>
        <c:ser>
          <c:idx val="0"/>
          <c:order val="1"/>
          <c:tx>
            <c:v>2020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1.5008254539996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E6-4D03-A77E-07845AC62372}"/>
                </c:ext>
              </c:extLst>
            </c:dLbl>
            <c:dLbl>
              <c:idx val="6"/>
              <c:layout>
                <c:manualLayout>
                  <c:x val="0"/>
                  <c:y val="-3.732609433322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F3-471B-A6D5-F121D151C106}"/>
                </c:ext>
              </c:extLst>
            </c:dLbl>
            <c:dLbl>
              <c:idx val="8"/>
              <c:layout>
                <c:manualLayout>
                  <c:x val="2.9334115576414295E-3"/>
                  <c:y val="-2.7146250424160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CD-4E83-9A43-CD89DE2581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'MENSUAL DEIXALLERIES'!$A$5:$A$16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DEIXALLERIES'!$AB$5:$AB$16</c:f>
              <c:numCache>
                <c:formatCode>#,##0.00</c:formatCode>
                <c:ptCount val="12"/>
                <c:pt idx="0">
                  <c:v>2491.2488999999991</c:v>
                </c:pt>
                <c:pt idx="1">
                  <c:v>2548.7974899999999</c:v>
                </c:pt>
                <c:pt idx="2">
                  <c:v>1569.06774</c:v>
                </c:pt>
                <c:pt idx="3">
                  <c:v>289.32741000000004</c:v>
                </c:pt>
                <c:pt idx="4">
                  <c:v>2441.0400100000006</c:v>
                </c:pt>
                <c:pt idx="5">
                  <c:v>3232.2370599999999</c:v>
                </c:pt>
                <c:pt idx="6">
                  <c:v>3075.3386500000001</c:v>
                </c:pt>
                <c:pt idx="7">
                  <c:v>3032.70226</c:v>
                </c:pt>
                <c:pt idx="8">
                  <c:v>2908.7002700000003</c:v>
                </c:pt>
                <c:pt idx="9">
                  <c:v>3192.1507300000003</c:v>
                </c:pt>
                <c:pt idx="10">
                  <c:v>2756.5055700000003</c:v>
                </c:pt>
                <c:pt idx="11">
                  <c:v>2444.5530700000004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E6-4D03-A77E-07845AC62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85440"/>
        <c:axId val="101886976"/>
      </c:barChart>
      <c:catAx>
        <c:axId val="10188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886976"/>
        <c:crosses val="autoZero"/>
        <c:auto val="1"/>
        <c:lblAlgn val="ctr"/>
        <c:lblOffset val="100"/>
        <c:noMultiLvlLbl val="0"/>
      </c:catAx>
      <c:valAx>
        <c:axId val="101886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crossAx val="10188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Usuaris/es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5"/>
          <c:order val="0"/>
          <c:tx>
            <c:v>2021</c:v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'MENSUAL DEIXALLERIES'!$A$46:$A$57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DEIXALLERIES'!$AA$46:$AA$57</c:f>
              <c:numCache>
                <c:formatCode>#,##0</c:formatCode>
                <c:ptCount val="12"/>
                <c:pt idx="0">
                  <c:v>25375</c:v>
                </c:pt>
                <c:pt idx="1">
                  <c:v>24997</c:v>
                </c:pt>
                <c:pt idx="2">
                  <c:v>28514</c:v>
                </c:pt>
                <c:pt idx="3">
                  <c:v>27698</c:v>
                </c:pt>
                <c:pt idx="4">
                  <c:v>29740</c:v>
                </c:pt>
                <c:pt idx="5">
                  <c:v>28579</c:v>
                </c:pt>
                <c:pt idx="6">
                  <c:v>28502</c:v>
                </c:pt>
                <c:pt idx="7">
                  <c:v>28870</c:v>
                </c:pt>
                <c:pt idx="8">
                  <c:v>27292</c:v>
                </c:pt>
                <c:pt idx="9">
                  <c:v>27841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8-4269-82D3-09A6CC92A6DC}"/>
            </c:ext>
          </c:extLst>
        </c:ser>
        <c:ser>
          <c:idx val="0"/>
          <c:order val="1"/>
          <c:tx>
            <c:v>2020</c:v>
          </c:tx>
          <c:invertIfNegative val="0"/>
          <c:dLbls>
            <c:dLbl>
              <c:idx val="6"/>
              <c:layout>
                <c:manualLayout>
                  <c:x val="-1.801801801801868E-3"/>
                  <c:y val="-2.1772939346811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0B-413A-A242-060AEC9F5D70}"/>
                </c:ext>
              </c:extLst>
            </c:dLbl>
            <c:dLbl>
              <c:idx val="7"/>
              <c:layout>
                <c:manualLayout>
                  <c:x val="0"/>
                  <c:y val="-1.244167962674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0B-413A-A242-060AEC9F5D70}"/>
                </c:ext>
              </c:extLst>
            </c:dLbl>
            <c:dLbl>
              <c:idx val="8"/>
              <c:layout>
                <c:manualLayout>
                  <c:x val="-1.3213060574809938E-16"/>
                  <c:y val="-2.177293934681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1B-4931-8E7E-78D87F08D8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'MENSUAL DEIXALLERIES'!$A$46:$A$57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DEIXALLERIES'!$AB$46:$AB$57</c:f>
              <c:numCache>
                <c:formatCode>#,##0</c:formatCode>
                <c:ptCount val="12"/>
                <c:pt idx="0">
                  <c:v>21905</c:v>
                </c:pt>
                <c:pt idx="1">
                  <c:v>22626</c:v>
                </c:pt>
                <c:pt idx="2">
                  <c:v>10101</c:v>
                </c:pt>
                <c:pt idx="3">
                  <c:v>97</c:v>
                </c:pt>
                <c:pt idx="4">
                  <c:v>20287</c:v>
                </c:pt>
                <c:pt idx="5">
                  <c:v>30515</c:v>
                </c:pt>
                <c:pt idx="6">
                  <c:v>28579</c:v>
                </c:pt>
                <c:pt idx="7">
                  <c:v>29348</c:v>
                </c:pt>
                <c:pt idx="8">
                  <c:v>27441</c:v>
                </c:pt>
                <c:pt idx="9">
                  <c:v>29205</c:v>
                </c:pt>
                <c:pt idx="10">
                  <c:v>27396</c:v>
                </c:pt>
                <c:pt idx="11">
                  <c:v>26216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48-4269-82D3-09A6CC92A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71296"/>
        <c:axId val="101672832"/>
      </c:barChart>
      <c:catAx>
        <c:axId val="10167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672832"/>
        <c:crosses val="autoZero"/>
        <c:auto val="1"/>
        <c:lblAlgn val="ctr"/>
        <c:lblOffset val="100"/>
        <c:noMultiLvlLbl val="0"/>
      </c:catAx>
      <c:valAx>
        <c:axId val="101672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0167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 DEIXALLERIES'!$A$4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17C-454A-9F89-20CB4D869E6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917C-454A-9F89-20CB4D869E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17C-454A-9F89-20CB4D869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17C-454A-9F89-20CB4D869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17C-454A-9F89-20CB4D869E60}"/>
              </c:ext>
            </c:extLst>
          </c:dPt>
          <c:cat>
            <c:strRef>
              <c:f>('RESUM DEIXALLERIES'!$B$2,'RESUM DEIXALLERIES'!$C$2,'RESUM DEIXALLERIES'!$D$2)</c:f>
              <c:strCache>
                <c:ptCount val="3"/>
                <c:pt idx="0">
                  <c:v>MATERIALS</c:v>
                </c:pt>
                <c:pt idx="1">
                  <c:v>Usuaris/es</c:v>
                </c:pt>
                <c:pt idx="2">
                  <c:v>Usuaris/es Deixalleria Mòbil</c:v>
                </c:pt>
              </c:strCache>
            </c:strRef>
          </c:cat>
          <c:val>
            <c:numRef>
              <c:f>'RESUM DEIXALLERIES'!$B$4:$D$4</c:f>
              <c:numCache>
                <c:formatCode>#,##0</c:formatCode>
                <c:ptCount val="3"/>
                <c:pt idx="0" formatCode="#,##0.00">
                  <c:v>23278.030299999999</c:v>
                </c:pt>
                <c:pt idx="1">
                  <c:v>248807</c:v>
                </c:pt>
                <c:pt idx="2">
                  <c:v>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7C-454A-9F89-20CB4D869E60}"/>
            </c:ext>
          </c:extLst>
        </c:ser>
        <c:ser>
          <c:idx val="1"/>
          <c:order val="1"/>
          <c:tx>
            <c:strRef>
              <c:f>'RESUM DEIXALLERIES'!$A$5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17C-454A-9F89-20CB4D869E6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917C-454A-9F89-20CB4D869E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17C-454A-9F89-20CB4D869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17C-454A-9F89-20CB4D869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17C-454A-9F89-20CB4D869E60}"/>
              </c:ext>
            </c:extLst>
          </c:dPt>
          <c:cat>
            <c:strRef>
              <c:f>('RESUM DEIXALLERIES'!$B$2,'RESUM DEIXALLERIES'!$C$2,'RESUM DEIXALLERIES'!$D$2)</c:f>
              <c:strCache>
                <c:ptCount val="3"/>
                <c:pt idx="0">
                  <c:v>MATERIALS</c:v>
                </c:pt>
                <c:pt idx="1">
                  <c:v>Usuaris/es</c:v>
                </c:pt>
                <c:pt idx="2">
                  <c:v>Usuaris/es Deixalleria Mòbil</c:v>
                </c:pt>
              </c:strCache>
            </c:strRef>
          </c:cat>
          <c:val>
            <c:numRef>
              <c:f>'RESUM DEIXALLERIES'!$B$5:$D$5</c:f>
              <c:numCache>
                <c:formatCode>#,##0</c:formatCode>
                <c:ptCount val="3"/>
                <c:pt idx="0" formatCode="#,##0.00">
                  <c:v>27048.204610000001</c:v>
                </c:pt>
                <c:pt idx="1">
                  <c:v>254435</c:v>
                </c:pt>
                <c:pt idx="2">
                  <c:v>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7C-454A-9F89-20CB4D869E60}"/>
            </c:ext>
          </c:extLst>
        </c:ser>
        <c:ser>
          <c:idx val="2"/>
          <c:order val="2"/>
          <c:tx>
            <c:strRef>
              <c:f>'RESUM DEIXALLERIES'!$A$6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FE5C-42D5-B4C6-AC121F02C8C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E5C-42D5-B4C6-AC121F02C8CC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E5C-42D5-B4C6-AC121F02C8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E5C-42D5-B4C6-AC121F02C8CC}"/>
              </c:ext>
            </c:extLst>
          </c:dPt>
          <c:cat>
            <c:strRef>
              <c:f>('RESUM DEIXALLERIES'!$B$2,'RESUM DEIXALLERIES'!$C$2,'RESUM DEIXALLERIES'!$D$2)</c:f>
              <c:strCache>
                <c:ptCount val="3"/>
                <c:pt idx="0">
                  <c:v>MATERIALS</c:v>
                </c:pt>
                <c:pt idx="1">
                  <c:v>Usuaris/es</c:v>
                </c:pt>
                <c:pt idx="2">
                  <c:v>Usuaris/es Deixalleria Mòbil</c:v>
                </c:pt>
              </c:strCache>
            </c:strRef>
          </c:cat>
          <c:val>
            <c:numRef>
              <c:f>'RESUM DEIXALLERIES'!$B$6:$D$6</c:f>
              <c:numCache>
                <c:formatCode>#,##0</c:formatCode>
                <c:ptCount val="3"/>
                <c:pt idx="0" formatCode="#,##0.00">
                  <c:v>28817.277470000005</c:v>
                </c:pt>
                <c:pt idx="1">
                  <c:v>264421</c:v>
                </c:pt>
                <c:pt idx="2">
                  <c:v>4276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5C-42D5-B4C6-AC121F02C8CC}"/>
            </c:ext>
          </c:extLst>
        </c:ser>
        <c:ser>
          <c:idx val="3"/>
          <c:order val="3"/>
          <c:tx>
            <c:strRef>
              <c:f>'RESUM DEIXALLERIES'!$A$7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E-C000-40A5-93D1-9FF1807520A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000-40A5-93D1-9FF1807520AD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0-C000-40A5-93D1-9FF1807520AD}"/>
              </c:ext>
            </c:extLst>
          </c:dPt>
          <c:dPt>
            <c:idx val="4"/>
            <c:invertIfNegative val="0"/>
            <c:bubble3D val="0"/>
            <c:spPr>
              <a:solidFill>
                <a:srgbClr val="753805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000-40A5-93D1-9FF1807520AD}"/>
              </c:ext>
            </c:extLst>
          </c:dPt>
          <c:cat>
            <c:strRef>
              <c:f>('RESUM DEIXALLERIES'!$B$2,'RESUM DEIXALLERIES'!$C$2,'RESUM DEIXALLERIES'!$D$2)</c:f>
              <c:strCache>
                <c:ptCount val="3"/>
                <c:pt idx="0">
                  <c:v>MATERIALS</c:v>
                </c:pt>
                <c:pt idx="1">
                  <c:v>Usuaris/es</c:v>
                </c:pt>
                <c:pt idx="2">
                  <c:v>Usuaris/es Deixalleria Mòbil</c:v>
                </c:pt>
              </c:strCache>
            </c:strRef>
          </c:cat>
          <c:val>
            <c:numRef>
              <c:f>'RESUM DEIXALLERIES'!$B$7:$D$7</c:f>
              <c:numCache>
                <c:formatCode>#,##0</c:formatCode>
                <c:ptCount val="3"/>
                <c:pt idx="0" formatCode="#,##0.00">
                  <c:v>30472.781133635759</c:v>
                </c:pt>
                <c:pt idx="1">
                  <c:v>273716</c:v>
                </c:pt>
                <c:pt idx="2">
                  <c:v>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000-40A5-93D1-9FF1807520AD}"/>
            </c:ext>
          </c:extLst>
        </c:ser>
        <c:ser>
          <c:idx val="4"/>
          <c:order val="4"/>
          <c:tx>
            <c:strRef>
              <c:f>'RESUM DEIXALLERIES'!$A$8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('RESUM DEIXALLERIES'!$B$2,'RESUM DEIXALLERIES'!$C$2,'RESUM DEIXALLERIES'!$D$2)</c:f>
              <c:strCache>
                <c:ptCount val="3"/>
                <c:pt idx="0">
                  <c:v>MATERIALS</c:v>
                </c:pt>
                <c:pt idx="1">
                  <c:v>Usuaris/es</c:v>
                </c:pt>
                <c:pt idx="2">
                  <c:v>Usuaris/es Deixalleria Mòbil</c:v>
                </c:pt>
              </c:strCache>
            </c:strRef>
          </c:cat>
          <c:val>
            <c:numRef>
              <c:f>'RESUM DEIXALLERIES'!$B$8:$D$8</c:f>
              <c:numCache>
                <c:formatCode>#,##0</c:formatCode>
                <c:ptCount val="3"/>
                <c:pt idx="0" formatCode="#,##0.00">
                  <c:v>29229.817289999988</c:v>
                </c:pt>
                <c:pt idx="1">
                  <c:v>277408</c:v>
                </c:pt>
                <c:pt idx="2">
                  <c:v>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000-40A5-93D1-9FF180752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2307712"/>
        <c:axId val="102309248"/>
      </c:barChart>
      <c:catAx>
        <c:axId val="10230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309248"/>
        <c:crosses val="autoZero"/>
        <c:auto val="1"/>
        <c:lblAlgn val="ctr"/>
        <c:lblOffset val="100"/>
        <c:noMultiLvlLbl val="0"/>
      </c:catAx>
      <c:valAx>
        <c:axId val="102309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0230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2021-2020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88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90-4927-8984-8955055C6FCE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90-4927-8984-8955055C6FCE}"/>
                </c:ext>
              </c:extLst>
            </c:dLbl>
            <c:dLbl>
              <c:idx val="4"/>
              <c:layout>
                <c:manualLayout>
                  <c:x val="0"/>
                  <c:y val="-2.19876868953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13-430B-ABDA-179C807568BF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90-4927-8984-8955055C6FCE}"/>
                </c:ext>
              </c:extLst>
            </c:dLbl>
            <c:dLbl>
              <c:idx val="7"/>
              <c:layout>
                <c:manualLayout>
                  <c:x val="-8.47682119205298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3E-4C5D-A6DC-0996E19D5DE4}"/>
                </c:ext>
              </c:extLst>
            </c:dLbl>
            <c:dLbl>
              <c:idx val="8"/>
              <c:layout>
                <c:manualLayout>
                  <c:x val="-9.0571830839025168E-3"/>
                  <c:y val="-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90-4927-8984-8955055C6FCE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618959.99999999977</c:v>
                </c:pt>
                <c:pt idx="1">
                  <c:v>498470.26</c:v>
                </c:pt>
                <c:pt idx="2">
                  <c:v>547400.02000000014</c:v>
                </c:pt>
                <c:pt idx="3">
                  <c:v>566800</c:v>
                </c:pt>
                <c:pt idx="4">
                  <c:v>541640.00999999989</c:v>
                </c:pt>
                <c:pt idx="5">
                  <c:v>609488.57000000007</c:v>
                </c:pt>
                <c:pt idx="6">
                  <c:v>585970.05000000005</c:v>
                </c:pt>
                <c:pt idx="7">
                  <c:v>500221.00999999995</c:v>
                </c:pt>
                <c:pt idx="8">
                  <c:v>570779.9600000002</c:v>
                </c:pt>
                <c:pt idx="9">
                  <c:v>556520.01999999979</c:v>
                </c:pt>
                <c:pt idx="10">
                  <c:v>546339.98999999976</c:v>
                </c:pt>
                <c:pt idx="11">
                  <c:v>669765.96999999986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90-4927-8984-8955055C6FCE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90-4927-8984-8955055C6FCE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90-4927-8984-8955055C6FCE}"/>
                </c:ext>
              </c:extLst>
            </c:dLbl>
            <c:dLbl>
              <c:idx val="2"/>
              <c:layout>
                <c:manualLayout>
                  <c:x val="1.15025992827878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3E-4C5D-A6DC-0996E19D5DE4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590-4927-8984-8955055C6FCE}"/>
                </c:ext>
              </c:extLst>
            </c:dLbl>
            <c:dLbl>
              <c:idx val="5"/>
              <c:layout>
                <c:manualLayout>
                  <c:x val="7.1268118512213003E-3"/>
                  <c:y val="-8.7431353402724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90-4927-8984-8955055C6FCE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590-4927-8984-8955055C6FCE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577979.99999999988</c:v>
                </c:pt>
                <c:pt idx="1">
                  <c:v>521609.99</c:v>
                </c:pt>
                <c:pt idx="2">
                  <c:v>552550.00000000012</c:v>
                </c:pt>
                <c:pt idx="3">
                  <c:v>522102</c:v>
                </c:pt>
                <c:pt idx="4">
                  <c:v>526460.98</c:v>
                </c:pt>
                <c:pt idx="5">
                  <c:v>567729.97000000009</c:v>
                </c:pt>
                <c:pt idx="6">
                  <c:v>573418.97999999986</c:v>
                </c:pt>
                <c:pt idx="7">
                  <c:v>505190.01999999996</c:v>
                </c:pt>
                <c:pt idx="8">
                  <c:v>540496.6399999999</c:v>
                </c:pt>
                <c:pt idx="9">
                  <c:v>532923.98999999987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90-4927-8984-8955055C6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598528"/>
        <c:axId val="82616704"/>
        <c:axId val="0"/>
      </c:bar3DChart>
      <c:catAx>
        <c:axId val="825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616704"/>
        <c:crosses val="autoZero"/>
        <c:auto val="1"/>
        <c:lblAlgn val="ctr"/>
        <c:lblOffset val="100"/>
        <c:noMultiLvlLbl val="0"/>
      </c:catAx>
      <c:valAx>
        <c:axId val="82616704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59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2021-2020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2.7221461667030111E-2"/>
                  <c:y val="-4.0227034009769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3E-4E12-A8D7-8591B5134BCB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3E-4E12-A8D7-8591B5134BCB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3E-4E12-A8D7-8591B5134BCB}"/>
                </c:ext>
              </c:extLst>
            </c:dLbl>
            <c:dLbl>
              <c:idx val="4"/>
              <c:layout>
                <c:manualLayout>
                  <c:x val="0"/>
                  <c:y val="-3.9401103230890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ED-4849-A456-7E5FB27A29DA}"/>
                </c:ext>
              </c:extLst>
            </c:dLbl>
            <c:dLbl>
              <c:idx val="5"/>
              <c:layout>
                <c:manualLayout>
                  <c:x val="3.3148952711186332E-3"/>
                  <c:y val="-6.47419072615926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3E-4E12-A8D7-8591B5134BCB}"/>
                </c:ext>
              </c:extLst>
            </c:dLbl>
            <c:dLbl>
              <c:idx val="8"/>
              <c:layout>
                <c:manualLayout>
                  <c:x val="-2.1843599825252004E-3"/>
                  <c:y val="-3.940110323089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2B-42FE-A3A8-9D9BD4EFB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618959.99999999977</c:v>
                </c:pt>
                <c:pt idx="1">
                  <c:v>498470.26</c:v>
                </c:pt>
                <c:pt idx="2">
                  <c:v>547400.02000000014</c:v>
                </c:pt>
                <c:pt idx="3">
                  <c:v>566800</c:v>
                </c:pt>
                <c:pt idx="4">
                  <c:v>541640.00999999989</c:v>
                </c:pt>
                <c:pt idx="5">
                  <c:v>609488.57000000007</c:v>
                </c:pt>
                <c:pt idx="6">
                  <c:v>585970.05000000005</c:v>
                </c:pt>
                <c:pt idx="7">
                  <c:v>500221.00999999995</c:v>
                </c:pt>
                <c:pt idx="8">
                  <c:v>570779.9600000002</c:v>
                </c:pt>
                <c:pt idx="9">
                  <c:v>556520.01999999979</c:v>
                </c:pt>
                <c:pt idx="10">
                  <c:v>546339.98999999976</c:v>
                </c:pt>
                <c:pt idx="11">
                  <c:v>669765.96999999986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3E-4E12-A8D7-8591B5134BCB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3.9742485820842915E-2"/>
                  <c:y val="2.54567702695273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3E-4E12-A8D7-8591B5134BCB}"/>
                </c:ext>
              </c:extLst>
            </c:dLbl>
            <c:dLbl>
              <c:idx val="1"/>
              <c:layout>
                <c:manualLayout>
                  <c:x val="-4.6092389668073663E-2"/>
                  <c:y val="2.5054567445491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D3E-4E12-A8D7-8591B5134BCB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3E-4E12-A8D7-8591B5134BCB}"/>
                </c:ext>
              </c:extLst>
            </c:dLbl>
            <c:dLbl>
              <c:idx val="3"/>
              <c:layout>
                <c:manualLayout>
                  <c:x val="-1.6868885454600219E-2"/>
                  <c:y val="5.639186620550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D3E-4E12-A8D7-8591B5134BCB}"/>
                </c:ext>
              </c:extLst>
            </c:dLbl>
            <c:dLbl>
              <c:idx val="5"/>
              <c:layout>
                <c:manualLayout>
                  <c:x val="-4.3687199650502403E-3"/>
                  <c:y val="1.8254500102380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3E-4E12-A8D7-8591B5134BCB}"/>
                </c:ext>
              </c:extLst>
            </c:dLbl>
            <c:dLbl>
              <c:idx val="6"/>
              <c:layout>
                <c:manualLayout>
                  <c:x val="-3.3179052159765235E-3"/>
                  <c:y val="2.613472074855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D3E-4E12-A8D7-8591B5134BCB}"/>
                </c:ext>
              </c:extLst>
            </c:dLbl>
            <c:dLbl>
              <c:idx val="7"/>
              <c:layout>
                <c:manualLayout>
                  <c:x val="-4.3687199650503201E-3"/>
                  <c:y val="-3.940110323089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B4-46D9-B90F-98DCA0D1512B}"/>
                </c:ext>
              </c:extLst>
            </c:dLbl>
            <c:dLbl>
              <c:idx val="8"/>
              <c:layout>
                <c:manualLayout>
                  <c:x val="0"/>
                  <c:y val="-1.24969751121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8E-489C-B737-8CC8D34A978B}"/>
                </c:ext>
              </c:extLst>
            </c:dLbl>
            <c:dLbl>
              <c:idx val="9"/>
              <c:layout>
                <c:manualLayout>
                  <c:x val="-7.7390823659483051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D3E-4E12-A8D7-8591B5134BCB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CARTRÓ'!$C$45:$L$45</c:f>
              <c:numCache>
                <c:formatCode>#,##0</c:formatCode>
                <c:ptCount val="10"/>
                <c:pt idx="0">
                  <c:v>577979.99999999988</c:v>
                </c:pt>
                <c:pt idx="1">
                  <c:v>521609.99</c:v>
                </c:pt>
                <c:pt idx="2">
                  <c:v>552550.00000000012</c:v>
                </c:pt>
                <c:pt idx="3">
                  <c:v>522102</c:v>
                </c:pt>
                <c:pt idx="4">
                  <c:v>526460.98</c:v>
                </c:pt>
                <c:pt idx="5">
                  <c:v>567729.97000000009</c:v>
                </c:pt>
                <c:pt idx="6">
                  <c:v>573418.97999999986</c:v>
                </c:pt>
                <c:pt idx="7">
                  <c:v>505190.01999999996</c:v>
                </c:pt>
                <c:pt idx="8">
                  <c:v>540496.6399999999</c:v>
                </c:pt>
                <c:pt idx="9">
                  <c:v>532923.98999999987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3E-4E12-A8D7-8591B5134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07264"/>
        <c:axId val="73308800"/>
      </c:lineChart>
      <c:catAx>
        <c:axId val="733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08800"/>
        <c:crosses val="autoZero"/>
        <c:auto val="1"/>
        <c:lblAlgn val="ctr"/>
        <c:lblOffset val="100"/>
        <c:noMultiLvlLbl val="0"/>
      </c:catAx>
      <c:valAx>
        <c:axId val="7330880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072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porta,</a:t>
            </a:r>
            <a:r>
              <a:rPr lang="es-ES" sz="1600" baseline="0"/>
              <a:t> Mercat i Papereres.</a:t>
            </a:r>
            <a:r>
              <a:rPr lang="es-ES" sz="1600"/>
              <a:t> 2021-2020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 PORTA A PORTA'!$B$46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92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A3-4193-9D5A-221E3183EADB}"/>
                </c:ext>
              </c:extLst>
            </c:dLbl>
            <c:dLbl>
              <c:idx val="2"/>
              <c:layout>
                <c:manualLayout>
                  <c:x val="-9.5364238410596026E-3"/>
                  <c:y val="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09-42AC-85FB-95B4FAE44B1A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A3-4193-9D5A-221E3183EADB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A3-4193-9D5A-221E3183EADB}"/>
                </c:ext>
              </c:extLst>
            </c:dLbl>
            <c:dLbl>
              <c:idx val="7"/>
              <c:layout>
                <c:manualLayout>
                  <c:x val="-7.41721854304635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09-42AC-85FB-95B4FAE44B1A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A3-4193-9D5A-221E3183EADB}"/>
                </c:ext>
              </c:extLst>
            </c:dLbl>
            <c:dLbl>
              <c:idx val="10"/>
              <c:layout>
                <c:manualLayout>
                  <c:x val="-3.1788079470198741E-3"/>
                  <c:y val="-1.3489208633093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09-42AC-85FB-95B4FAE44B1A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154976</c:v>
                </c:pt>
                <c:pt idx="1">
                  <c:v>139800</c:v>
                </c:pt>
                <c:pt idx="2">
                  <c:v>106340</c:v>
                </c:pt>
                <c:pt idx="3">
                  <c:v>87840</c:v>
                </c:pt>
                <c:pt idx="4">
                  <c:v>107610</c:v>
                </c:pt>
                <c:pt idx="5">
                  <c:v>131351.43</c:v>
                </c:pt>
                <c:pt idx="6">
                  <c:v>158280</c:v>
                </c:pt>
                <c:pt idx="7">
                  <c:v>100841</c:v>
                </c:pt>
                <c:pt idx="8">
                  <c:v>149520</c:v>
                </c:pt>
                <c:pt idx="9">
                  <c:v>142480</c:v>
                </c:pt>
                <c:pt idx="10">
                  <c:v>125420</c:v>
                </c:pt>
                <c:pt idx="11">
                  <c:v>155280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3-4193-9D5A-221E3183EADB}"/>
            </c:ext>
          </c:extLst>
        </c:ser>
        <c:ser>
          <c:idx val="41"/>
          <c:order val="1"/>
          <c:tx>
            <c:strRef>
              <c:f>'PAPER I CARTRÓ PORTA A PORTA'!$B$45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AA3-4193-9D5A-221E3183EADB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AA3-4193-9D5A-221E3183EADB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AA3-4193-9D5A-221E3183EADB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AA3-4193-9D5A-221E3183EADB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AA3-4193-9D5A-221E3183EADB}"/>
                </c:ext>
              </c:extLst>
            </c:dLbl>
            <c:dLbl>
              <c:idx val="9"/>
              <c:layout>
                <c:manualLayout>
                  <c:x val="4.1617354122125494E-3"/>
                  <c:y val="-4.6068656885515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PORTA'!$C$45:$N$45</c:f>
              <c:numCache>
                <c:formatCode>#,##0</c:formatCode>
                <c:ptCount val="12"/>
                <c:pt idx="0">
                  <c:v>125720</c:v>
                </c:pt>
                <c:pt idx="1">
                  <c:v>118430</c:v>
                </c:pt>
                <c:pt idx="2">
                  <c:v>134180</c:v>
                </c:pt>
                <c:pt idx="3">
                  <c:v>120220</c:v>
                </c:pt>
                <c:pt idx="4">
                  <c:v>125140</c:v>
                </c:pt>
                <c:pt idx="5">
                  <c:v>136680</c:v>
                </c:pt>
                <c:pt idx="6">
                  <c:v>133820</c:v>
                </c:pt>
                <c:pt idx="7">
                  <c:v>100200</c:v>
                </c:pt>
                <c:pt idx="8">
                  <c:v>137147.37</c:v>
                </c:pt>
                <c:pt idx="9">
                  <c:v>128480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A3-4193-9D5A-221E3183E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787328"/>
        <c:axId val="82793216"/>
        <c:axId val="0"/>
      </c:bar3DChart>
      <c:catAx>
        <c:axId val="827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793216"/>
        <c:crosses val="autoZero"/>
        <c:auto val="1"/>
        <c:lblAlgn val="ctr"/>
        <c:lblOffset val="100"/>
        <c:noMultiLvlLbl val="0"/>
      </c:catAx>
      <c:valAx>
        <c:axId val="82793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787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Cartró.Porta a porta, Mercat i Papereres. 2021-2020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 PORTA A PORTA'!$B$46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4.2909285017362825E-2"/>
                  <c:y val="-3.614391980892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B9-490A-BCC5-E967701FD0CF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B9-490A-BCC5-E967701FD0CF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B9-490A-BCC5-E967701FD0CF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B9-490A-BCC5-E967701FD0CF}"/>
                </c:ext>
              </c:extLst>
            </c:dLbl>
            <c:dLbl>
              <c:idx val="6"/>
              <c:layout>
                <c:manualLayout>
                  <c:x val="-2.549930685269846E-2"/>
                  <c:y val="-3.4192401481729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E2-42EA-895C-FEC1AEA98FE3}"/>
                </c:ext>
              </c:extLst>
            </c:dLbl>
            <c:dLbl>
              <c:idx val="9"/>
              <c:layout>
                <c:manualLayout>
                  <c:x val="-4.2390843577787196E-3"/>
                  <c:y val="3.2197474463061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E2-42EA-895C-FEC1AEA98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154976</c:v>
                </c:pt>
                <c:pt idx="1">
                  <c:v>139800</c:v>
                </c:pt>
                <c:pt idx="2">
                  <c:v>106340</c:v>
                </c:pt>
                <c:pt idx="3">
                  <c:v>87840</c:v>
                </c:pt>
                <c:pt idx="4">
                  <c:v>107610</c:v>
                </c:pt>
                <c:pt idx="5">
                  <c:v>131351.43</c:v>
                </c:pt>
                <c:pt idx="6">
                  <c:v>158280</c:v>
                </c:pt>
                <c:pt idx="7">
                  <c:v>100841</c:v>
                </c:pt>
                <c:pt idx="8">
                  <c:v>149520</c:v>
                </c:pt>
                <c:pt idx="9">
                  <c:v>142480</c:v>
                </c:pt>
                <c:pt idx="10">
                  <c:v>125420</c:v>
                </c:pt>
                <c:pt idx="11">
                  <c:v>155280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9-490A-BCC5-E967701FD0CF}"/>
            </c:ext>
          </c:extLst>
        </c:ser>
        <c:ser>
          <c:idx val="41"/>
          <c:order val="1"/>
          <c:tx>
            <c:strRef>
              <c:f>'PAPER I CARTRÓ PORTA A PORTA'!$B$45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4.706347005099832E-2"/>
                  <c:y val="-3.1706828542318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B9-490A-BCC5-E967701FD0CF}"/>
                </c:ext>
              </c:extLst>
            </c:dLbl>
            <c:dLbl>
              <c:idx val="1"/>
              <c:layout>
                <c:manualLayout>
                  <c:x val="-1.9946017417519123E-2"/>
                  <c:y val="3.730391004802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B9-490A-BCC5-E967701FD0CF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B9-490A-BCC5-E967701FD0CF}"/>
                </c:ext>
              </c:extLst>
            </c:dLbl>
            <c:dLbl>
              <c:idx val="3"/>
              <c:layout>
                <c:manualLayout>
                  <c:x val="-6.2711745601532814E-3"/>
                  <c:y val="3.6268438288893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6B9-490A-BCC5-E967701FD0CF}"/>
                </c:ext>
              </c:extLst>
            </c:dLbl>
            <c:dLbl>
              <c:idx val="4"/>
              <c:layout>
                <c:manualLayout>
                  <c:x val="-9.5379398050021227E-3"/>
                  <c:y val="-5.232122948757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6B9-490A-BCC5-E967701FD0CF}"/>
                </c:ext>
              </c:extLst>
            </c:dLbl>
            <c:dLbl>
              <c:idx val="5"/>
              <c:layout>
                <c:manualLayout>
                  <c:x val="-2.2255192878338291E-2"/>
                  <c:y val="-3.296691804570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6B9-490A-BCC5-E967701FD0CF}"/>
                </c:ext>
              </c:extLst>
            </c:dLbl>
            <c:dLbl>
              <c:idx val="6"/>
              <c:layout>
                <c:manualLayout>
                  <c:x val="-1.4239705128602124E-2"/>
                  <c:y val="2.6134720748558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6B9-490A-BCC5-E967701FD0CF}"/>
                </c:ext>
              </c:extLst>
            </c:dLbl>
            <c:dLbl>
              <c:idx val="7"/>
              <c:layout>
                <c:manualLayout>
                  <c:x val="-1.1657565430433881E-2"/>
                  <c:y val="-5.2320896002474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E2-42EA-895C-FEC1AEA98FE3}"/>
                </c:ext>
              </c:extLst>
            </c:dLbl>
            <c:dLbl>
              <c:idx val="8"/>
              <c:layout>
                <c:manualLayout>
                  <c:x val="-1.0597710894446798E-2"/>
                  <c:y val="-2.414810584729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E2-42EA-895C-FEC1AEA98FE3}"/>
                </c:ext>
              </c:extLst>
            </c:dLbl>
            <c:dLbl>
              <c:idx val="9"/>
              <c:layout>
                <c:manualLayout>
                  <c:x val="-4.4625442461894097E-3"/>
                  <c:y val="8.40422429465817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693315858453471E-2"/>
                      <c:h val="7.96100842004678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F6B9-490A-BCC5-E967701FD0CF}"/>
                </c:ext>
              </c:extLst>
            </c:dLbl>
            <c:dLbl>
              <c:idx val="10"/>
              <c:layout>
                <c:manualLayout>
                  <c:x val="0"/>
                  <c:y val="2.012342153941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E2-42EA-895C-FEC1AEA98FE3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9-490A-BCC5-E967701FD0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PORTA'!$C$45:$L$45</c:f>
              <c:numCache>
                <c:formatCode>#,##0</c:formatCode>
                <c:ptCount val="10"/>
                <c:pt idx="0">
                  <c:v>125720</c:v>
                </c:pt>
                <c:pt idx="1">
                  <c:v>118430</c:v>
                </c:pt>
                <c:pt idx="2">
                  <c:v>134180</c:v>
                </c:pt>
                <c:pt idx="3">
                  <c:v>120220</c:v>
                </c:pt>
                <c:pt idx="4">
                  <c:v>125140</c:v>
                </c:pt>
                <c:pt idx="5">
                  <c:v>136680</c:v>
                </c:pt>
                <c:pt idx="6">
                  <c:v>133820</c:v>
                </c:pt>
                <c:pt idx="7">
                  <c:v>100200</c:v>
                </c:pt>
                <c:pt idx="8">
                  <c:v>137147.37</c:v>
                </c:pt>
                <c:pt idx="9">
                  <c:v>128480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6B9-490A-BCC5-E967701F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6592"/>
        <c:axId val="84048128"/>
      </c:lineChart>
      <c:catAx>
        <c:axId val="840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8128"/>
        <c:crosses val="autoZero"/>
        <c:auto val="1"/>
        <c:lblAlgn val="ctr"/>
        <c:lblOffset val="100"/>
        <c:noMultiLvlLbl val="0"/>
      </c:catAx>
      <c:valAx>
        <c:axId val="84048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6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2021-2020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rgbClr val="BC8F00"/>
            </a:solidFill>
          </c:spPr>
          <c:invertIfNegative val="0"/>
          <c:dLbls>
            <c:dLbl>
              <c:idx val="4"/>
              <c:layout>
                <c:manualLayout>
                  <c:x val="-1.0028709667368499E-2"/>
                  <c:y val="-4.5016995826341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599779.97999999986</c:v>
                </c:pt>
                <c:pt idx="1">
                  <c:v>528459.96999999986</c:v>
                </c:pt>
                <c:pt idx="2">
                  <c:v>601019.99999999988</c:v>
                </c:pt>
                <c:pt idx="3">
                  <c:v>634699.9800000001</c:v>
                </c:pt>
                <c:pt idx="4">
                  <c:v>634400.0199999999</c:v>
                </c:pt>
                <c:pt idx="5">
                  <c:v>670300.01999999979</c:v>
                </c:pt>
                <c:pt idx="6">
                  <c:v>649720.17000000004</c:v>
                </c:pt>
                <c:pt idx="7">
                  <c:v>585680.02</c:v>
                </c:pt>
                <c:pt idx="8">
                  <c:v>610300.00999999989</c:v>
                </c:pt>
                <c:pt idx="9">
                  <c:v>632939.98999999987</c:v>
                </c:pt>
                <c:pt idx="10">
                  <c:v>622380.02000000014</c:v>
                </c:pt>
                <c:pt idx="11">
                  <c:v>661420.01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9-4D9A-915B-1E765321DBD2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1.484018264840241E-2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89-4D9A-915B-1E765321DBD2}"/>
                </c:ext>
              </c:extLst>
            </c:dLbl>
            <c:dLbl>
              <c:idx val="3"/>
              <c:layout>
                <c:manualLayout>
                  <c:x val="2.1652832297023267E-3"/>
                  <c:y val="-3.175803024479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14-4B98-8338-76A4026994F2}"/>
                </c:ext>
              </c:extLst>
            </c:dLbl>
            <c:dLbl>
              <c:idx val="4"/>
              <c:layout>
                <c:manualLayout>
                  <c:x val="-8.2908407224641214E-17"/>
                  <c:y val="-2.185792349726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68-40C2-91ED-BF550D605C77}"/>
                </c:ext>
              </c:extLst>
            </c:dLbl>
            <c:dLbl>
              <c:idx val="5"/>
              <c:layout>
                <c:manualLayout>
                  <c:x val="4.0394724542981326E-3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89-4D9A-915B-1E765321DBD2}"/>
                </c:ext>
              </c:extLst>
            </c:dLbl>
            <c:dLbl>
              <c:idx val="6"/>
              <c:layout>
                <c:manualLayout>
                  <c:x val="9.1324200913242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89-4D9A-915B-1E765321DBD2}"/>
                </c:ext>
              </c:extLst>
            </c:dLbl>
            <c:dLbl>
              <c:idx val="9"/>
              <c:layout>
                <c:manualLayout>
                  <c:x val="3.391746749575866E-3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38-4CC4-9C87-7C59AFCC9A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611420.00000000012</c:v>
                </c:pt>
                <c:pt idx="1">
                  <c:v>573540</c:v>
                </c:pt>
                <c:pt idx="2">
                  <c:v>653820.03</c:v>
                </c:pt>
                <c:pt idx="3">
                  <c:v>637280.00999999989</c:v>
                </c:pt>
                <c:pt idx="4">
                  <c:v>644292.0199999999</c:v>
                </c:pt>
                <c:pt idx="5">
                  <c:v>653300</c:v>
                </c:pt>
                <c:pt idx="6">
                  <c:v>661860</c:v>
                </c:pt>
                <c:pt idx="7">
                  <c:v>608320.0199999999</c:v>
                </c:pt>
                <c:pt idx="8">
                  <c:v>637879.98999999976</c:v>
                </c:pt>
                <c:pt idx="9">
                  <c:v>626710.02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89-4D9A-915B-1E765321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4266368"/>
        <c:axId val="84268160"/>
        <c:axId val="0"/>
      </c:bar3DChart>
      <c:catAx>
        <c:axId val="842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68160"/>
        <c:crosses val="autoZero"/>
        <c:auto val="1"/>
        <c:lblAlgn val="ctr"/>
        <c:lblOffset val="100"/>
        <c:noMultiLvlLbl val="0"/>
      </c:catAx>
      <c:valAx>
        <c:axId val="84268160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66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2021-2020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3.5200276200159641E-2"/>
                  <c:y val="-1.2883528287287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6A-4249-84E3-247D4BFA32F0}"/>
                </c:ext>
              </c:extLst>
            </c:dLbl>
            <c:dLbl>
              <c:idx val="3"/>
              <c:layout>
                <c:manualLayout>
                  <c:x val="-3.9657043006791932E-17"/>
                  <c:y val="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F2-4F3C-B268-C70F4F6D74DF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6A-4249-84E3-247D4BFA32F0}"/>
                </c:ext>
              </c:extLst>
            </c:dLbl>
            <c:dLbl>
              <c:idx val="5"/>
              <c:layout>
                <c:manualLayout>
                  <c:x val="-4.5176469249054076E-3"/>
                  <c:y val="-8.9053813747104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57-4D77-BC23-9E809329F5E2}"/>
                </c:ext>
              </c:extLst>
            </c:dLbl>
            <c:dLbl>
              <c:idx val="6"/>
              <c:layout>
                <c:manualLayout>
                  <c:x val="-1.8070587699621301E-2"/>
                  <c:y val="3.562152549884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57-4D77-BC23-9E809329F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599779.97999999986</c:v>
                </c:pt>
                <c:pt idx="1">
                  <c:v>528459.96999999986</c:v>
                </c:pt>
                <c:pt idx="2">
                  <c:v>601019.99999999988</c:v>
                </c:pt>
                <c:pt idx="3">
                  <c:v>634699.9800000001</c:v>
                </c:pt>
                <c:pt idx="4">
                  <c:v>634400.0199999999</c:v>
                </c:pt>
                <c:pt idx="5">
                  <c:v>670300.01999999979</c:v>
                </c:pt>
                <c:pt idx="6">
                  <c:v>649720.17000000004</c:v>
                </c:pt>
                <c:pt idx="7">
                  <c:v>585680.02</c:v>
                </c:pt>
                <c:pt idx="8">
                  <c:v>610300.00999999989</c:v>
                </c:pt>
                <c:pt idx="9">
                  <c:v>632939.98999999987</c:v>
                </c:pt>
                <c:pt idx="10">
                  <c:v>622380.02000000014</c:v>
                </c:pt>
                <c:pt idx="11">
                  <c:v>661420.01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A-4249-84E3-247D4BFA32F0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2.0235374791915246E-2"/>
                  <c:y val="-4.0133630695007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6A-4249-84E3-247D4BFA32F0}"/>
                </c:ext>
              </c:extLst>
            </c:dLbl>
            <c:dLbl>
              <c:idx val="1"/>
              <c:layout>
                <c:manualLayout>
                  <c:x val="-2.8134484746439075E-2"/>
                  <c:y val="-5.565408948158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6A-4249-84E3-247D4BFA32F0}"/>
                </c:ext>
              </c:extLst>
            </c:dLbl>
            <c:dLbl>
              <c:idx val="3"/>
              <c:layout>
                <c:manualLayout>
                  <c:x val="-2.1632215880333931E-3"/>
                  <c:y val="-3.6994219653179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F2-4F3C-B268-C70F4F6D74DF}"/>
                </c:ext>
              </c:extLst>
            </c:dLbl>
            <c:dLbl>
              <c:idx val="4"/>
              <c:layout>
                <c:manualLayout>
                  <c:x val="-1.4827486359907769E-2"/>
                  <c:y val="4.009420070345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6A-4249-84E3-247D4BFA32F0}"/>
                </c:ext>
              </c:extLst>
            </c:dLbl>
            <c:dLbl>
              <c:idx val="5"/>
              <c:layout>
                <c:manualLayout>
                  <c:x val="1.060579866661829E-3"/>
                  <c:y val="9.6150070401597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16A-4249-84E3-247D4BFA32F0}"/>
                </c:ext>
              </c:extLst>
            </c:dLbl>
            <c:dLbl>
              <c:idx val="6"/>
              <c:layout>
                <c:manualLayout>
                  <c:x val="4.5399683693571214E-3"/>
                  <c:y val="1.3397690491016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6A-4249-84E3-247D4BFA32F0}"/>
                </c:ext>
              </c:extLst>
            </c:dLbl>
            <c:dLbl>
              <c:idx val="8"/>
              <c:layout>
                <c:manualLayout>
                  <c:x val="0"/>
                  <c:y val="-3.643264192593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6A-4249-84E3-247D4BFA32F0}"/>
                </c:ext>
              </c:extLst>
            </c:dLbl>
            <c:dLbl>
              <c:idx val="9"/>
              <c:layout>
                <c:manualLayout>
                  <c:x val="0"/>
                  <c:y val="4.4526906873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78-44A7-97CF-81867DAD5203}"/>
                </c:ext>
              </c:extLst>
            </c:dLbl>
            <c:dLbl>
              <c:idx val="10"/>
              <c:layout>
                <c:manualLayout>
                  <c:x val="0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6A-4249-84E3-247D4BFA32F0}"/>
                </c:ext>
              </c:extLst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6A-4249-84E3-247D4BFA3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ENVASOS!$C$46:$L$46</c:f>
              <c:numCache>
                <c:formatCode>#,##0</c:formatCode>
                <c:ptCount val="10"/>
                <c:pt idx="0">
                  <c:v>611420.00000000012</c:v>
                </c:pt>
                <c:pt idx="1">
                  <c:v>573540</c:v>
                </c:pt>
                <c:pt idx="2">
                  <c:v>653820.03</c:v>
                </c:pt>
                <c:pt idx="3">
                  <c:v>637280.00999999989</c:v>
                </c:pt>
                <c:pt idx="4">
                  <c:v>644292.0199999999</c:v>
                </c:pt>
                <c:pt idx="5">
                  <c:v>653300</c:v>
                </c:pt>
                <c:pt idx="6">
                  <c:v>661860</c:v>
                </c:pt>
                <c:pt idx="7">
                  <c:v>608320.0199999999</c:v>
                </c:pt>
                <c:pt idx="8">
                  <c:v>637879.98999999976</c:v>
                </c:pt>
                <c:pt idx="9">
                  <c:v>626710.02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6A-4249-84E3-247D4BFA3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0048"/>
        <c:axId val="84211584"/>
      </c:lineChart>
      <c:catAx>
        <c:axId val="842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11584"/>
        <c:crosses val="autoZero"/>
        <c:auto val="1"/>
        <c:lblAlgn val="ctr"/>
        <c:lblOffset val="100"/>
        <c:noMultiLvlLbl val="0"/>
      </c:catAx>
      <c:valAx>
        <c:axId val="84211584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100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2021-2020</a:t>
            </a:r>
          </a:p>
        </c:rich>
      </c:tx>
      <c:layout>
        <c:manualLayout>
          <c:xMode val="edge"/>
          <c:yMode val="edge"/>
          <c:x val="0.44579961695807324"/>
          <c:y val="2.3801655370771696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VIDRE!$B$48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24-4EFC-8C2D-37E83157B4B7}"/>
                </c:ext>
              </c:extLst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24-4EFC-8C2D-37E83157B4B7}"/>
                </c:ext>
              </c:extLst>
            </c:dLbl>
            <c:dLbl>
              <c:idx val="5"/>
              <c:layout>
                <c:manualLayout>
                  <c:x val="5.1085568326947684E-3"/>
                  <c:y val="-3.476387853058892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24-4EFC-8C2D-37E83157B4B7}"/>
                </c:ext>
              </c:extLst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VIDRE!$C$48:$N$48</c:f>
              <c:numCache>
                <c:formatCode>#,##0</c:formatCode>
                <c:ptCount val="12"/>
                <c:pt idx="0">
                  <c:v>726420.00000000012</c:v>
                </c:pt>
                <c:pt idx="1">
                  <c:v>449399.99000000011</c:v>
                </c:pt>
                <c:pt idx="2">
                  <c:v>555159.99999999977</c:v>
                </c:pt>
                <c:pt idx="3">
                  <c:v>510319.98999999993</c:v>
                </c:pt>
                <c:pt idx="4">
                  <c:v>465120.02</c:v>
                </c:pt>
                <c:pt idx="5">
                  <c:v>611160.01000000013</c:v>
                </c:pt>
                <c:pt idx="6">
                  <c:v>671139.98</c:v>
                </c:pt>
                <c:pt idx="7">
                  <c:v>550080.00000000023</c:v>
                </c:pt>
                <c:pt idx="8">
                  <c:v>554559.98999999987</c:v>
                </c:pt>
                <c:pt idx="9">
                  <c:v>484320.0199999999</c:v>
                </c:pt>
                <c:pt idx="10">
                  <c:v>515559.98999999993</c:v>
                </c:pt>
                <c:pt idx="11">
                  <c:v>617980.03000000026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4-4EFC-8C2D-37E83157B4B7}"/>
            </c:ext>
          </c:extLst>
        </c:ser>
        <c:ser>
          <c:idx val="41"/>
          <c:order val="1"/>
          <c:tx>
            <c:strRef>
              <c:f>VIDRE!$B$47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24-4EFC-8C2D-37E83157B4B7}"/>
                </c:ext>
              </c:extLst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24-4EFC-8C2D-37E83157B4B7}"/>
                </c:ext>
              </c:extLst>
            </c:dLbl>
            <c:dLbl>
              <c:idx val="3"/>
              <c:layout>
                <c:manualLayout>
                  <c:x val="6.7510548523206804E-3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24-4EFC-8C2D-37E83157B4B7}"/>
                </c:ext>
              </c:extLst>
            </c:dLbl>
            <c:dLbl>
              <c:idx val="4"/>
              <c:layout>
                <c:manualLayout>
                  <c:x val="6.7510548523206804E-3"/>
                  <c:y val="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C24-4EFC-8C2D-37E83157B4B7}"/>
                </c:ext>
              </c:extLst>
            </c:dLbl>
            <c:dLbl>
              <c:idx val="5"/>
              <c:layout>
                <c:manualLayout>
                  <c:x val="5.6258790436005714E-3"/>
                  <c:y val="-1.29449838187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C24-4EFC-8C2D-37E83157B4B7}"/>
                </c:ext>
              </c:extLst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C24-4EFC-8C2D-37E83157B4B7}"/>
                </c:ext>
              </c:extLst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C24-4EFC-8C2D-37E83157B4B7}"/>
                </c:ext>
              </c:extLst>
            </c:dLbl>
            <c:dLbl>
              <c:idx val="10"/>
              <c:layout>
                <c:manualLayout>
                  <c:x val="8.53105838443081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7A-4BC8-BCC1-1579635832A5}"/>
                </c:ext>
              </c:extLst>
            </c:dLbl>
            <c:dLbl>
              <c:idx val="11"/>
              <c:layout>
                <c:manualLayout>
                  <c:x val="2.0253164556962036E-2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627259.98</c:v>
                </c:pt>
                <c:pt idx="1">
                  <c:v>459300</c:v>
                </c:pt>
                <c:pt idx="2">
                  <c:v>548899.9800000001</c:v>
                </c:pt>
                <c:pt idx="3">
                  <c:v>625180.02000000014</c:v>
                </c:pt>
                <c:pt idx="4">
                  <c:v>455239.99000000017</c:v>
                </c:pt>
                <c:pt idx="5">
                  <c:v>541920.00999999989</c:v>
                </c:pt>
                <c:pt idx="6">
                  <c:v>602060.00999999989</c:v>
                </c:pt>
                <c:pt idx="7">
                  <c:v>566870.00999999966</c:v>
                </c:pt>
                <c:pt idx="8">
                  <c:v>591860</c:v>
                </c:pt>
                <c:pt idx="9">
                  <c:v>512980.00000000012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24-4EFC-8C2D-37E83157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4912768"/>
        <c:axId val="84935040"/>
        <c:axId val="0"/>
      </c:bar3DChart>
      <c:catAx>
        <c:axId val="849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35040"/>
        <c:crosses val="autoZero"/>
        <c:auto val="1"/>
        <c:lblAlgn val="ctr"/>
        <c:lblOffset val="100"/>
        <c:noMultiLvlLbl val="0"/>
      </c:catAx>
      <c:valAx>
        <c:axId val="8493504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12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2021-2020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VIDRE!$B$48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0C-48CF-B8B9-55B09869127B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0C-48CF-B8B9-55B09869127B}"/>
                </c:ext>
              </c:extLst>
            </c:dLbl>
            <c:dLbl>
              <c:idx val="4"/>
              <c:layout>
                <c:manualLayout>
                  <c:x val="-2.1194794470915854E-2"/>
                  <c:y val="-5.3473098579414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0C-48CF-B8B9-55B09869127B}"/>
                </c:ext>
              </c:extLst>
            </c:dLbl>
            <c:dLbl>
              <c:idx val="6"/>
              <c:layout>
                <c:manualLayout>
                  <c:x val="0"/>
                  <c:y val="-2.359882005899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0C-48CF-B8B9-55B09869127B}"/>
                </c:ext>
              </c:extLst>
            </c:dLbl>
            <c:dLbl>
              <c:idx val="8"/>
              <c:layout>
                <c:manualLayout>
                  <c:x val="-1.6051364365971106E-2"/>
                  <c:y val="3.620516641072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8F-448A-9E24-F2633BEB50E0}"/>
                </c:ext>
              </c:extLst>
            </c:dLbl>
            <c:dLbl>
              <c:idx val="9"/>
              <c:layout>
                <c:manualLayout>
                  <c:x val="1.1025358324145535E-3"/>
                  <c:y val="3.9331366764995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2C-49D1-8A49-5F48F2B8C9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VIDRE!$C$48:$N$48</c:f>
              <c:numCache>
                <c:formatCode>#,##0</c:formatCode>
                <c:ptCount val="12"/>
                <c:pt idx="0">
                  <c:v>726420.00000000012</c:v>
                </c:pt>
                <c:pt idx="1">
                  <c:v>449399.99000000011</c:v>
                </c:pt>
                <c:pt idx="2">
                  <c:v>555159.99999999977</c:v>
                </c:pt>
                <c:pt idx="3">
                  <c:v>510319.98999999993</c:v>
                </c:pt>
                <c:pt idx="4">
                  <c:v>465120.02</c:v>
                </c:pt>
                <c:pt idx="5">
                  <c:v>611160.01000000013</c:v>
                </c:pt>
                <c:pt idx="6">
                  <c:v>671139.98</c:v>
                </c:pt>
                <c:pt idx="7">
                  <c:v>550080.00000000023</c:v>
                </c:pt>
                <c:pt idx="8">
                  <c:v>554559.98999999987</c:v>
                </c:pt>
                <c:pt idx="9">
                  <c:v>484320.0199999999</c:v>
                </c:pt>
                <c:pt idx="10">
                  <c:v>515559.98999999993</c:v>
                </c:pt>
                <c:pt idx="11">
                  <c:v>617980.03000000026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0C-48CF-B8B9-55B09869127B}"/>
            </c:ext>
          </c:extLst>
        </c:ser>
        <c:ser>
          <c:idx val="41"/>
          <c:order val="1"/>
          <c:tx>
            <c:strRef>
              <c:f>VIDRE!$B$47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8.6306627401911719E-4"/>
                  <c:y val="-2.35349419450314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0C-48CF-B8B9-55B09869127B}"/>
                </c:ext>
              </c:extLst>
            </c:dLbl>
            <c:dLbl>
              <c:idx val="2"/>
              <c:layout>
                <c:manualLayout>
                  <c:x val="-1.4442055702176281E-2"/>
                  <c:y val="3.505112527058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0C-48CF-B8B9-55B09869127B}"/>
                </c:ext>
              </c:extLst>
            </c:dLbl>
            <c:dLbl>
              <c:idx val="3"/>
              <c:layout>
                <c:manualLayout>
                  <c:x val="-9.9502487562189747E-3"/>
                  <c:y val="-5.113077679449361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6C-4FB1-A442-A283D7C5CADD}"/>
                </c:ext>
              </c:extLst>
            </c:dLbl>
            <c:dLbl>
              <c:idx val="6"/>
              <c:layout>
                <c:manualLayout>
                  <c:x val="-2.2637238256933857E-3"/>
                  <c:y val="-3.5398230088495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0C-48CF-B8B9-55B09869127B}"/>
                </c:ext>
              </c:extLst>
            </c:dLbl>
            <c:dLbl>
              <c:idx val="7"/>
              <c:layout>
                <c:manualLayout>
                  <c:x val="0"/>
                  <c:y val="-2.4136777607152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8F-448A-9E24-F2633BEB50E0}"/>
                </c:ext>
              </c:extLst>
            </c:dLbl>
            <c:dLbl>
              <c:idx val="8"/>
              <c:layout>
                <c:manualLayout>
                  <c:x val="0"/>
                  <c:y val="-3.9331366764995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0C-48CF-B8B9-55B09869127B}"/>
                </c:ext>
              </c:extLst>
            </c:dLbl>
            <c:dLbl>
              <c:idx val="9"/>
              <c:layout>
                <c:manualLayout>
                  <c:x val="0"/>
                  <c:y val="2.3688568416678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0C-48CF-B8B9-55B09869127B}"/>
                </c:ext>
              </c:extLst>
            </c:dLbl>
            <c:dLbl>
              <c:idx val="10"/>
              <c:layout>
                <c:manualLayout>
                  <c:x val="-1.0723860589812537E-3"/>
                  <c:y val="2.011397496807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8F-448A-9E24-F2633BEB50E0}"/>
                </c:ext>
              </c:extLst>
            </c:dLbl>
            <c:dLbl>
              <c:idx val="11"/>
              <c:layout>
                <c:manualLayout>
                  <c:x val="-2.2637238256933857E-3"/>
                  <c:y val="-5.1130776794493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0C-48CF-B8B9-55B098691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VIDRE!$C$47:$L$47</c:f>
              <c:numCache>
                <c:formatCode>#,##0</c:formatCode>
                <c:ptCount val="10"/>
                <c:pt idx="0">
                  <c:v>627259.98</c:v>
                </c:pt>
                <c:pt idx="1">
                  <c:v>459300</c:v>
                </c:pt>
                <c:pt idx="2">
                  <c:v>548899.9800000001</c:v>
                </c:pt>
                <c:pt idx="3">
                  <c:v>625180.02000000014</c:v>
                </c:pt>
                <c:pt idx="4">
                  <c:v>455239.99000000017</c:v>
                </c:pt>
                <c:pt idx="5">
                  <c:v>541920.00999999989</c:v>
                </c:pt>
                <c:pt idx="6">
                  <c:v>602060.00999999989</c:v>
                </c:pt>
                <c:pt idx="7">
                  <c:v>566870.00999999966</c:v>
                </c:pt>
                <c:pt idx="8">
                  <c:v>591860</c:v>
                </c:pt>
                <c:pt idx="9">
                  <c:v>512980.00000000012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0C-48CF-B8B9-55B09869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6480"/>
        <c:axId val="84998016"/>
      </c:lineChart>
      <c:catAx>
        <c:axId val="849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98016"/>
        <c:crosses val="autoZero"/>
        <c:auto val="1"/>
        <c:lblAlgn val="ctr"/>
        <c:lblOffset val="100"/>
        <c:noMultiLvlLbl val="0"/>
      </c:catAx>
      <c:valAx>
        <c:axId val="84998016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964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39</xdr:row>
      <xdr:rowOff>160020</xdr:rowOff>
    </xdr:from>
    <xdr:to>
      <xdr:col>7</xdr:col>
      <xdr:colOff>655320</xdr:colOff>
      <xdr:row>56</xdr:row>
      <xdr:rowOff>121920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35982</xdr:colOff>
      <xdr:row>52</xdr:row>
      <xdr:rowOff>26458</xdr:rowOff>
    </xdr:from>
    <xdr:to>
      <xdr:col>14</xdr:col>
      <xdr:colOff>378882</xdr:colOff>
      <xdr:row>67</xdr:row>
      <xdr:rowOff>74083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23283</xdr:colOff>
      <xdr:row>68</xdr:row>
      <xdr:rowOff>135467</xdr:rowOff>
    </xdr:from>
    <xdr:to>
      <xdr:col>14</xdr:col>
      <xdr:colOff>377825</xdr:colOff>
      <xdr:row>83</xdr:row>
      <xdr:rowOff>130175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185208</xdr:rowOff>
    </xdr:from>
    <xdr:to>
      <xdr:col>14</xdr:col>
      <xdr:colOff>504825</xdr:colOff>
      <xdr:row>69</xdr:row>
      <xdr:rowOff>84666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27517</xdr:colOff>
      <xdr:row>70</xdr:row>
      <xdr:rowOff>178858</xdr:rowOff>
    </xdr:from>
    <xdr:to>
      <xdr:col>14</xdr:col>
      <xdr:colOff>465667</xdr:colOff>
      <xdr:row>87</xdr:row>
      <xdr:rowOff>169333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50</xdr:row>
      <xdr:rowOff>17145</xdr:rowOff>
    </xdr:from>
    <xdr:to>
      <xdr:col>14</xdr:col>
      <xdr:colOff>369570</xdr:colOff>
      <xdr:row>66</xdr:row>
      <xdr:rowOff>17145</xdr:rowOff>
    </xdr:to>
    <xdr:graphicFrame macro="">
      <xdr:nvGraphicFramePr>
        <xdr:cNvPr id="133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67</xdr:row>
      <xdr:rowOff>53340</xdr:rowOff>
    </xdr:from>
    <xdr:to>
      <xdr:col>14</xdr:col>
      <xdr:colOff>367665</xdr:colOff>
      <xdr:row>83</xdr:row>
      <xdr:rowOff>53340</xdr:rowOff>
    </xdr:to>
    <xdr:graphicFrame macro="">
      <xdr:nvGraphicFramePr>
        <xdr:cNvPr id="133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50</xdr:row>
      <xdr:rowOff>3810</xdr:rowOff>
    </xdr:from>
    <xdr:to>
      <xdr:col>14</xdr:col>
      <xdr:colOff>428625</xdr:colOff>
      <xdr:row>67</xdr:row>
      <xdr:rowOff>41910</xdr:rowOff>
    </xdr:to>
    <xdr:graphicFrame macro="">
      <xdr:nvGraphicFramePr>
        <xdr:cNvPr id="1158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350520</xdr:colOff>
      <xdr:row>68</xdr:row>
      <xdr:rowOff>15240</xdr:rowOff>
    </xdr:from>
    <xdr:to>
      <xdr:col>14</xdr:col>
      <xdr:colOff>415290</xdr:colOff>
      <xdr:row>85</xdr:row>
      <xdr:rowOff>13335</xdr:rowOff>
    </xdr:to>
    <xdr:graphicFrame macro="">
      <xdr:nvGraphicFramePr>
        <xdr:cNvPr id="1158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20</xdr:row>
      <xdr:rowOff>16510</xdr:rowOff>
    </xdr:from>
    <xdr:to>
      <xdr:col>20</xdr:col>
      <xdr:colOff>461010</xdr:colOff>
      <xdr:row>39</xdr:row>
      <xdr:rowOff>139700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62</xdr:row>
      <xdr:rowOff>6350</xdr:rowOff>
    </xdr:from>
    <xdr:to>
      <xdr:col>24</xdr:col>
      <xdr:colOff>450850</xdr:colOff>
      <xdr:row>76</xdr:row>
      <xdr:rowOff>31750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9</xdr:row>
      <xdr:rowOff>160020</xdr:rowOff>
    </xdr:from>
    <xdr:to>
      <xdr:col>4</xdr:col>
      <xdr:colOff>0</xdr:colOff>
      <xdr:row>26</xdr:row>
      <xdr:rowOff>121920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icomarcaldedades/Dades%20Deixalleries/Material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rrae"/>
      <sheetName val="grans materials"/>
      <sheetName val="altres materials (2)"/>
      <sheetName val="resum"/>
      <sheetName val="Factors conversió"/>
      <sheetName val="ResidusxDeix"/>
      <sheetName val="Hoja1"/>
    </sheetNames>
    <sheetDataSet>
      <sheetData sheetId="0"/>
      <sheetData sheetId="1"/>
      <sheetData sheetId="2"/>
      <sheetData sheetId="3">
        <row r="29">
          <cell r="Q29">
            <v>373.64</v>
          </cell>
        </row>
      </sheetData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2" name="Tabla2" displayName="Tabla2" ref="A4:O47" totalsRowShown="0" headerRowDxfId="154" dataDxfId="152" headerRowBorderDxfId="153" tableBorderDxfId="151" totalsRowBorderDxfId="150">
  <sortState ref="A5:O48">
    <sortCondition ref="A5:A48"/>
  </sortState>
  <tableColumns count="15">
    <tableColumn id="15" name="Núm." dataDxfId="149"/>
    <tableColumn id="1" name="Població" dataDxfId="148"/>
    <tableColumn id="2" name="Gener" dataDxfId="147"/>
    <tableColumn id="3" name="Febrer" dataDxfId="146"/>
    <tableColumn id="4" name="Març" dataDxfId="145"/>
    <tableColumn id="5" name="Abril" dataDxfId="144"/>
    <tableColumn id="6" name="Maig" dataDxfId="143"/>
    <tableColumn id="7" name="Juny" dataDxfId="142"/>
    <tableColumn id="8" name="Juliol" dataDxfId="141"/>
    <tableColumn id="9" name="Agost" dataDxfId="140"/>
    <tableColumn id="10" name="Setembre" dataDxfId="139"/>
    <tableColumn id="11" name="Octubre" dataDxfId="138"/>
    <tableColumn id="12" name="Novembre" dataDxfId="137"/>
    <tableColumn id="13" name="Desembre" dataDxfId="136"/>
    <tableColumn id="14" name="TOTAL" dataDxfId="135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25" displayName="Tabla25" ref="A4:O47" totalsRowShown="0" headerRowDxfId="134" dataDxfId="132" headerRowBorderDxfId="133" tableBorderDxfId="131" totalsRowBorderDxfId="130">
  <sortState ref="A5:O48">
    <sortCondition ref="A5:A48"/>
  </sortState>
  <tableColumns count="15">
    <tableColumn id="15" name="Núm." dataDxfId="129"/>
    <tableColumn id="1" name="Població" dataDxfId="128"/>
    <tableColumn id="2" name="Gener" dataDxfId="127"/>
    <tableColumn id="3" name="Febrer" dataDxfId="126"/>
    <tableColumn id="4" name="Març" dataDxfId="125"/>
    <tableColumn id="5" name="Abril" dataDxfId="124"/>
    <tableColumn id="6" name="Maig" dataDxfId="123"/>
    <tableColumn id="7" name="Juny" dataDxfId="122"/>
    <tableColumn id="8" name="Juliol" dataDxfId="121"/>
    <tableColumn id="9" name="Agost" dataDxfId="120"/>
    <tableColumn id="10" name="Setembre" dataDxfId="119"/>
    <tableColumn id="11" name="Octubre" dataDxfId="118"/>
    <tableColumn id="12" name="Novembre" dataDxfId="117"/>
    <tableColumn id="13" name="Desembre" dataDxfId="116"/>
    <tableColumn id="14" name="TOTAL" dataDxfId="11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3:O48" totalsRowShown="0" headerRowDxfId="114" dataDxfId="113" tableBorderDxfId="112">
  <sortState ref="A5:O48">
    <sortCondition ref="A5:A48"/>
  </sortState>
  <tableColumns count="15">
    <tableColumn id="15" name="Núm. " dataDxfId="111"/>
    <tableColumn id="1" name="Població" dataDxfId="110"/>
    <tableColumn id="2" name="Gener" dataDxfId="109"/>
    <tableColumn id="3" name="Febrer" dataDxfId="108"/>
    <tableColumn id="4" name="Març" dataDxfId="107"/>
    <tableColumn id="5" name="Abril" dataDxfId="106"/>
    <tableColumn id="6" name="Maig" dataDxfId="105"/>
    <tableColumn id="7" name="Juny" dataDxfId="104"/>
    <tableColumn id="8" name="Juliol" dataDxfId="103"/>
    <tableColumn id="9" name="Agost" dataDxfId="102"/>
    <tableColumn id="10" name="Setembre" dataDxfId="101"/>
    <tableColumn id="11" name="Octubre" dataDxfId="100"/>
    <tableColumn id="12" name="Novembre" dataDxfId="99"/>
    <tableColumn id="13" name="Desembre" dataDxfId="98"/>
    <tableColumn id="14" name="TOTAL" dataDxfId="9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4:O49" totalsRowShown="0" headerRowDxfId="96" dataDxfId="95" tableBorderDxfId="94">
  <sortState ref="A5:O48">
    <sortCondition ref="A5:A48"/>
  </sortState>
  <tableColumns count="15">
    <tableColumn id="15" name="Núm." dataDxfId="93"/>
    <tableColumn id="1" name="Població" dataDxfId="92"/>
    <tableColumn id="2" name="Gener" dataDxfId="91"/>
    <tableColumn id="3" name="Febrer" dataDxfId="90"/>
    <tableColumn id="4" name="Març" dataDxfId="89"/>
    <tableColumn id="5" name="Abril" dataDxfId="88"/>
    <tableColumn id="6" name="Maig" dataDxfId="87"/>
    <tableColumn id="7" name="Juny" dataDxfId="86"/>
    <tableColumn id="8" name="Juliol" dataDxfId="85"/>
    <tableColumn id="9" name="Agost" dataDxfId="84"/>
    <tableColumn id="10" name="Setembre" dataDxfId="83"/>
    <tableColumn id="11" name="Octubre" dataDxfId="82"/>
    <tableColumn id="12" name="Novembre" dataDxfId="81"/>
    <tableColumn id="13" name="Desembre" dataDxfId="80"/>
    <tableColumn id="14" name="TOTAL" dataDxfId="79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3:O43" totalsRowShown="0" headerRowDxfId="78" dataDxfId="76" headerRowBorderDxfId="77" tableBorderDxfId="75" totalsRowBorderDxfId="74">
  <sortState ref="A4:O44">
    <sortCondition ref="A4:A44"/>
  </sortState>
  <tableColumns count="15">
    <tableColumn id="15" name="Núm." dataDxfId="73"/>
    <tableColumn id="1" name="Població" dataDxfId="72"/>
    <tableColumn id="2" name="Gener" dataDxfId="71"/>
    <tableColumn id="3" name="Febrer" dataDxfId="70"/>
    <tableColumn id="4" name="Març" dataDxfId="69"/>
    <tableColumn id="5" name="Abril" dataDxfId="68"/>
    <tableColumn id="6" name="Maig" dataDxfId="67"/>
    <tableColumn id="7" name="Juny" dataDxfId="66"/>
    <tableColumn id="8" name="Juliol" dataDxfId="65"/>
    <tableColumn id="9" name="Agost" dataDxfId="64"/>
    <tableColumn id="10" name="Setembre" dataDxfId="63"/>
    <tableColumn id="11" name="Octubre" dataDxfId="0"/>
    <tableColumn id="12" name="Novembre" dataDxfId="62"/>
    <tableColumn id="13" name="Desembre" dataDxfId="61"/>
    <tableColumn id="14" name="TOTAL" dataDxfId="60"/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id="8" name="Tabla8" displayName="Tabla8" ref="A3:O46" totalsRowShown="0" headerRowDxfId="58" dataDxfId="57" tableBorderDxfId="56">
  <sortState ref="A4:O47">
    <sortCondition ref="A4:A47"/>
  </sortState>
  <tableColumns count="15">
    <tableColumn id="15" name="Núm." dataDxfId="55"/>
    <tableColumn id="1" name="Població" dataDxfId="54"/>
    <tableColumn id="2" name="Gener" dataDxfId="53"/>
    <tableColumn id="3" name="Febrer" dataDxfId="52"/>
    <tableColumn id="4" name="Març" dataDxfId="51"/>
    <tableColumn id="5" name="Abril" dataDxfId="50"/>
    <tableColumn id="6" name="Maig" dataDxfId="49"/>
    <tableColumn id="7" name="Juny" dataDxfId="48"/>
    <tableColumn id="8" name="Juliol" dataDxfId="47"/>
    <tableColumn id="9" name="Agost" dataDxfId="46"/>
    <tableColumn id="10" name="Setembre" dataDxfId="45"/>
    <tableColumn id="11" name="Octubre" dataDxfId="44"/>
    <tableColumn id="12" name="Novembre" dataDxfId="43"/>
    <tableColumn id="13" name="Desembre" dataDxfId="42"/>
    <tableColumn id="14" name="TOTAL" dataDxfId="41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1" name="Tabla911" displayName="Tabla911" ref="A3:O46" totalsRowShown="0" headerRowDxfId="38" dataDxfId="37" tableBorderDxfId="36">
  <sortState ref="A4:O45">
    <sortCondition ref="A4:A45"/>
  </sortState>
  <tableColumns count="15">
    <tableColumn id="15" name="Núm." dataDxfId="35"/>
    <tableColumn id="1" name="Població" dataDxfId="34"/>
    <tableColumn id="2" name="Gener" dataDxfId="33"/>
    <tableColumn id="3" name="Febrer" dataDxfId="32"/>
    <tableColumn id="4" name="Març" dataDxfId="31"/>
    <tableColumn id="5" name="Abril" dataDxfId="30"/>
    <tableColumn id="6" name="Maig" dataDxfId="29"/>
    <tableColumn id="7" name="Juny" dataDxfId="28"/>
    <tableColumn id="8" name="Juliol" dataDxfId="27"/>
    <tableColumn id="9" name="Agost" dataDxfId="26"/>
    <tableColumn id="10" name="Setembre" dataDxfId="25"/>
    <tableColumn id="11" name="Octubre" dataDxfId="24"/>
    <tableColumn id="12" name="Novembre" dataDxfId="23"/>
    <tableColumn id="13" name="Desembre" dataDxfId="22"/>
    <tableColumn id="14" name="TOTAL" dataDxfId="21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id="7" name="Tabla91112" displayName="Tabla91112" ref="A3:O46" totalsRowShown="0" headerRowDxfId="18" dataDxfId="17" tableBorderDxfId="16">
  <sortState ref="A4:O45">
    <sortCondition ref="A4:A45"/>
  </sortState>
  <tableColumns count="15">
    <tableColumn id="15" name="Núm." dataDxfId="15"/>
    <tableColumn id="1" name="Població" dataDxfId="14"/>
    <tableColumn id="2" name="Gener" dataDxfId="13"/>
    <tableColumn id="3" name="Febrer" dataDxfId="12"/>
    <tableColumn id="4" name="Març" dataDxfId="11"/>
    <tableColumn id="5" name="Abril" dataDxfId="10"/>
    <tableColumn id="6" name="Maig" dataDxfId="9"/>
    <tableColumn id="7" name="Juny" dataDxfId="8"/>
    <tableColumn id="8" name="Juliol" dataDxfId="7"/>
    <tableColumn id="9" name="Agost" dataDxfId="6"/>
    <tableColumn id="10" name="Setembre" dataDxfId="5"/>
    <tableColumn id="11" name="Octubre" dataDxfId="4"/>
    <tableColumn id="12" name="Novembre" dataDxfId="3"/>
    <tableColumn id="13" name="Desembre" dataDxfId="2"/>
    <tableColumn id="14" name="TOTAL" dataDxfId="1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Q12" sqref="Q12"/>
    </sheetView>
  </sheetViews>
  <sheetFormatPr baseColWidth="10" defaultRowHeight="15" x14ac:dyDescent="0.25"/>
  <cols>
    <col min="14" max="14" width="11.5703125" style="259"/>
  </cols>
  <sheetData>
    <row r="1" spans="1:17" ht="15.75" thickBot="1" x14ac:dyDescent="0.3"/>
    <row r="2" spans="1:17" ht="15.75" thickBot="1" x14ac:dyDescent="0.3">
      <c r="B2" s="224" t="s">
        <v>26</v>
      </c>
      <c r="C2" s="225" t="s">
        <v>27</v>
      </c>
      <c r="D2" s="225" t="s">
        <v>28</v>
      </c>
      <c r="E2" s="225" t="s">
        <v>29</v>
      </c>
      <c r="F2" s="225" t="s">
        <v>30</v>
      </c>
      <c r="G2" s="225" t="s">
        <v>31</v>
      </c>
      <c r="H2" s="225" t="s">
        <v>32</v>
      </c>
      <c r="I2" s="225" t="s">
        <v>33</v>
      </c>
      <c r="J2" s="236" t="s">
        <v>34</v>
      </c>
      <c r="K2" s="241" t="s">
        <v>35</v>
      </c>
      <c r="L2" s="241" t="s">
        <v>36</v>
      </c>
      <c r="M2" s="241" t="s">
        <v>37</v>
      </c>
    </row>
    <row r="3" spans="1:17" x14ac:dyDescent="0.25">
      <c r="A3" s="221" t="s">
        <v>61</v>
      </c>
    </row>
    <row r="4" spans="1:17" x14ac:dyDescent="0.25">
      <c r="A4" s="221">
        <v>2017</v>
      </c>
      <c r="B4" s="222">
        <v>412581.0400000001</v>
      </c>
      <c r="C4" s="223">
        <v>352130.02</v>
      </c>
      <c r="D4" s="223">
        <v>405029.97000000009</v>
      </c>
      <c r="E4" s="223">
        <v>366729.58000000007</v>
      </c>
      <c r="F4" s="223">
        <v>419681.99999999988</v>
      </c>
      <c r="G4" s="223">
        <v>448799.34</v>
      </c>
      <c r="H4" s="223">
        <v>440767.29000000004</v>
      </c>
      <c r="I4" s="223">
        <v>413206.86</v>
      </c>
      <c r="J4" s="223">
        <v>438036.02</v>
      </c>
      <c r="K4" s="223">
        <v>419070.96999999991</v>
      </c>
      <c r="L4" s="223">
        <v>385953.98999999987</v>
      </c>
      <c r="M4" s="223">
        <v>440054</v>
      </c>
      <c r="N4" s="260">
        <f>SUM(B4:M4)</f>
        <v>4942041.08</v>
      </c>
      <c r="P4" s="237"/>
      <c r="Q4" s="237"/>
    </row>
    <row r="5" spans="1:17" x14ac:dyDescent="0.25">
      <c r="A5" s="221">
        <v>2018</v>
      </c>
      <c r="B5" s="254">
        <v>500800.28999999992</v>
      </c>
      <c r="C5" s="255">
        <v>375879.99999999994</v>
      </c>
      <c r="D5" s="255">
        <v>468932.01999999996</v>
      </c>
      <c r="E5" s="255">
        <v>450069.97999999986</v>
      </c>
      <c r="F5" s="255">
        <v>496034.99</v>
      </c>
      <c r="G5" s="255">
        <v>504269.98999999993</v>
      </c>
      <c r="H5" s="255">
        <v>547712.77999999991</v>
      </c>
      <c r="I5" s="255">
        <v>487850.99000000005</v>
      </c>
      <c r="J5" s="255">
        <v>514509.97000000003</v>
      </c>
      <c r="K5" s="255">
        <v>559220</v>
      </c>
      <c r="L5" s="255">
        <v>536139.99</v>
      </c>
      <c r="M5" s="255">
        <v>572150</v>
      </c>
      <c r="N5" s="261">
        <f>SUM(B5:M5)</f>
        <v>6013570.9999999991</v>
      </c>
      <c r="P5" s="238"/>
    </row>
    <row r="6" spans="1:17" x14ac:dyDescent="0.25">
      <c r="A6" s="221">
        <v>2019</v>
      </c>
      <c r="B6" s="254">
        <v>566700.01</v>
      </c>
      <c r="C6" s="255">
        <v>459989.99999999994</v>
      </c>
      <c r="D6" s="255">
        <v>514580</v>
      </c>
      <c r="E6" s="255">
        <v>552220</v>
      </c>
      <c r="F6" s="255">
        <v>611979.99000000022</v>
      </c>
      <c r="G6" s="255">
        <v>580150.01</v>
      </c>
      <c r="H6" s="255">
        <v>684485.96</v>
      </c>
      <c r="I6" s="255">
        <v>573520.01</v>
      </c>
      <c r="J6" s="255">
        <v>641150</v>
      </c>
      <c r="K6" s="255">
        <v>678140.00999999978</v>
      </c>
      <c r="L6" s="255">
        <v>630520.00999999978</v>
      </c>
      <c r="M6" s="255">
        <v>757479.56999999983</v>
      </c>
      <c r="N6" s="261">
        <f>SUM(B6:M6)</f>
        <v>7250915.5699999984</v>
      </c>
      <c r="P6" s="238"/>
    </row>
    <row r="7" spans="1:17" x14ac:dyDescent="0.25">
      <c r="A7" s="221">
        <v>2020</v>
      </c>
      <c r="B7" s="254">
        <v>773935.99999999977</v>
      </c>
      <c r="C7" s="254">
        <v>638270.26</v>
      </c>
      <c r="D7" s="254">
        <v>653740.02000000014</v>
      </c>
      <c r="E7" s="254">
        <v>654640</v>
      </c>
      <c r="F7" s="254">
        <v>649250.00999999989</v>
      </c>
      <c r="G7" s="254">
        <v>740840</v>
      </c>
      <c r="H7" s="254">
        <v>744250.05</v>
      </c>
      <c r="I7" s="254">
        <v>601062.01</v>
      </c>
      <c r="J7" s="254">
        <v>720299.9600000002</v>
      </c>
      <c r="K7" s="254">
        <v>699000.01999999979</v>
      </c>
      <c r="L7" s="254">
        <v>671759.98999999976</v>
      </c>
      <c r="M7" s="254">
        <v>825045.96999999986</v>
      </c>
      <c r="N7" s="261">
        <f>SUM(B7:M7)</f>
        <v>8372094.2899999982</v>
      </c>
      <c r="P7" s="238"/>
    </row>
    <row r="8" spans="1:17" ht="15.75" thickBot="1" x14ac:dyDescent="0.3">
      <c r="A8" s="221">
        <v>2021</v>
      </c>
      <c r="B8" s="313">
        <f>'PAPER I CARTRÓ'!C45+'PAPER I CARTRÓ PORTA A PORTA'!C45</f>
        <v>703699.99999999988</v>
      </c>
      <c r="C8" s="313">
        <f>'PAPER I CARTRÓ'!D45+'PAPER I CARTRÓ PORTA A PORTA'!D45</f>
        <v>640039.99</v>
      </c>
      <c r="D8" s="313">
        <f>'PAPER I CARTRÓ'!E45+'PAPER I CARTRÓ PORTA A PORTA'!E45</f>
        <v>686730.00000000012</v>
      </c>
      <c r="E8" s="313">
        <f>'PAPER I CARTRÓ'!F45+'PAPER I CARTRÓ PORTA A PORTA'!F45</f>
        <v>642322</v>
      </c>
      <c r="F8" s="313">
        <f>'PAPER I CARTRÓ'!G45+'PAPER I CARTRÓ PORTA A PORTA'!G45</f>
        <v>651600.98</v>
      </c>
      <c r="G8" s="313">
        <f>'PAPER I CARTRÓ'!H45+'PAPER I CARTRÓ PORTA A PORTA'!H45</f>
        <v>704409.97000000009</v>
      </c>
      <c r="H8" s="313">
        <f>'PAPER I CARTRÓ'!I45+'PAPER I CARTRÓ PORTA A PORTA'!I45</f>
        <v>707238.97999999986</v>
      </c>
      <c r="I8" s="313">
        <f>'PAPER I CARTRÓ'!J45+'PAPER I CARTRÓ PORTA A PORTA'!J45</f>
        <v>605390.02</v>
      </c>
      <c r="J8" s="313">
        <f>'PAPER I CARTRÓ'!K45+'PAPER I CARTRÓ PORTA A PORTA'!K45</f>
        <v>677644.00999999989</v>
      </c>
      <c r="K8" s="313">
        <f>'PAPER I CARTRÓ'!L45+'PAPER I CARTRÓ PORTA A PORTA'!L45</f>
        <v>661403.98999999987</v>
      </c>
      <c r="L8" s="313">
        <f>'PAPER I CARTRÓ'!M45+'PAPER I CARTRÓ PORTA A PORTA'!M45</f>
        <v>0</v>
      </c>
      <c r="M8" s="313">
        <f>'PAPER I CARTRÓ'!N45+'PAPER I CARTRÓ PORTA A PORTA'!N45</f>
        <v>0</v>
      </c>
      <c r="N8" s="314">
        <f>SUM(B8:M8)</f>
        <v>6680479.9399999995</v>
      </c>
      <c r="P8" s="238"/>
    </row>
    <row r="9" spans="1:17" x14ac:dyDescent="0.25">
      <c r="A9" s="264" t="s">
        <v>134</v>
      </c>
      <c r="B9" s="258">
        <f>(B8/B7)-1</f>
        <v>-9.0751690062227275E-2</v>
      </c>
      <c r="C9" s="258">
        <f t="shared" ref="C9:N9" si="0">(C8/C7)-1</f>
        <v>2.7726969450212469E-3</v>
      </c>
      <c r="D9" s="258">
        <f t="shared" si="0"/>
        <v>5.0463454876144676E-2</v>
      </c>
      <c r="E9" s="258">
        <f t="shared" si="0"/>
        <v>-1.8816448735182734E-2</v>
      </c>
      <c r="F9" s="258">
        <f t="shared" si="0"/>
        <v>3.6210550077619974E-3</v>
      </c>
      <c r="G9" s="258">
        <f t="shared" si="0"/>
        <v>-4.9173951190540355E-2</v>
      </c>
      <c r="H9" s="258">
        <f t="shared" si="0"/>
        <v>-4.9729348355435299E-2</v>
      </c>
      <c r="I9" s="258">
        <f t="shared" si="0"/>
        <v>7.2006048094772623E-3</v>
      </c>
      <c r="J9" s="258">
        <f t="shared" si="0"/>
        <v>-5.9219703413561642E-2</v>
      </c>
      <c r="K9" s="258">
        <f t="shared" si="0"/>
        <v>-5.3785449104851168E-2</v>
      </c>
      <c r="L9" s="258">
        <f t="shared" si="0"/>
        <v>-1</v>
      </c>
      <c r="M9" s="258">
        <f t="shared" si="0"/>
        <v>-1</v>
      </c>
      <c r="N9" s="258">
        <f t="shared" si="0"/>
        <v>-0.20205390567812143</v>
      </c>
    </row>
    <row r="10" spans="1:17" x14ac:dyDescent="0.25">
      <c r="A10" s="221" t="s">
        <v>62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7" x14ac:dyDescent="0.25">
      <c r="A11" s="221">
        <v>2017</v>
      </c>
      <c r="B11" s="239">
        <v>444980.00999999989</v>
      </c>
      <c r="C11" s="240">
        <v>411340.00000000006</v>
      </c>
      <c r="D11" s="240">
        <v>475679.99000000017</v>
      </c>
      <c r="E11" s="240">
        <v>428580.00000000006</v>
      </c>
      <c r="F11" s="240">
        <v>487100</v>
      </c>
      <c r="G11" s="240">
        <v>498879.93999999989</v>
      </c>
      <c r="H11" s="240">
        <v>488108.25999999995</v>
      </c>
      <c r="I11" s="240">
        <v>462720.13000000006</v>
      </c>
      <c r="J11" s="240">
        <v>468340.01000000018</v>
      </c>
      <c r="K11" s="240">
        <v>480899.37999999995</v>
      </c>
      <c r="L11" s="240">
        <v>455520.01000000007</v>
      </c>
      <c r="M11" s="240">
        <v>472960</v>
      </c>
      <c r="N11" s="262">
        <f>SUM(B11:M11)</f>
        <v>5575107.7299999995</v>
      </c>
    </row>
    <row r="12" spans="1:17" x14ac:dyDescent="0.25">
      <c r="A12" s="221">
        <v>2018</v>
      </c>
      <c r="B12" s="239">
        <v>492829.60000000009</v>
      </c>
      <c r="C12" s="240">
        <v>421959.93</v>
      </c>
      <c r="D12" s="240">
        <v>494580.00999999995</v>
      </c>
      <c r="E12" s="240">
        <v>478619.99000000005</v>
      </c>
      <c r="F12" s="240">
        <v>506699.99999999994</v>
      </c>
      <c r="G12" s="240">
        <v>492539.98999999993</v>
      </c>
      <c r="H12" s="240">
        <v>520740.02999999985</v>
      </c>
      <c r="I12" s="240">
        <v>494920</v>
      </c>
      <c r="J12" s="240">
        <v>473600.31000000017</v>
      </c>
      <c r="K12" s="240">
        <v>531240.03000000014</v>
      </c>
      <c r="L12" s="240">
        <v>517179.98776397511</v>
      </c>
      <c r="M12" s="240">
        <v>503200</v>
      </c>
      <c r="N12" s="262">
        <f>SUM(B12:M12)</f>
        <v>5928109.8777639745</v>
      </c>
    </row>
    <row r="13" spans="1:17" x14ac:dyDescent="0.25">
      <c r="A13" s="221">
        <v>2019</v>
      </c>
      <c r="B13" s="254">
        <v>503900</v>
      </c>
      <c r="C13" s="255">
        <v>455080</v>
      </c>
      <c r="D13" s="255">
        <v>507040</v>
      </c>
      <c r="E13" s="255">
        <v>520320</v>
      </c>
      <c r="F13" s="255">
        <v>549739.98</v>
      </c>
      <c r="G13" s="255">
        <v>521619.62999999995</v>
      </c>
      <c r="H13" s="255">
        <v>598525.08000000007</v>
      </c>
      <c r="I13" s="255">
        <v>530639.98999999987</v>
      </c>
      <c r="J13" s="255">
        <v>557359.98999999976</v>
      </c>
      <c r="K13" s="255">
        <v>561707.25999999989</v>
      </c>
      <c r="L13" s="255">
        <v>536439.85800000001</v>
      </c>
      <c r="M13" s="255">
        <v>587260.01</v>
      </c>
      <c r="N13" s="261">
        <f>SUM(B13:M13)</f>
        <v>6429631.7979999995</v>
      </c>
    </row>
    <row r="14" spans="1:17" x14ac:dyDescent="0.25">
      <c r="A14" s="221">
        <v>2020</v>
      </c>
      <c r="B14" s="254">
        <v>599779.97999999986</v>
      </c>
      <c r="C14" s="254">
        <v>528459.96999999986</v>
      </c>
      <c r="D14" s="254">
        <v>601019.99999999988</v>
      </c>
      <c r="E14" s="254">
        <v>634699.9800000001</v>
      </c>
      <c r="F14" s="254">
        <v>634400.0199999999</v>
      </c>
      <c r="G14" s="254">
        <v>670300.01999999979</v>
      </c>
      <c r="H14" s="254">
        <v>649720.17000000004</v>
      </c>
      <c r="I14" s="254">
        <v>585680.02</v>
      </c>
      <c r="J14" s="254">
        <v>610300.00999999989</v>
      </c>
      <c r="K14" s="254">
        <v>632939.98999999987</v>
      </c>
      <c r="L14" s="254">
        <v>622380.02000000014</v>
      </c>
      <c r="M14" s="254">
        <v>661420.01</v>
      </c>
      <c r="N14" s="261">
        <f>SUM(B14:M14)</f>
        <v>7431100.1900000004</v>
      </c>
    </row>
    <row r="15" spans="1:17" ht="15.75" thickBot="1" x14ac:dyDescent="0.3">
      <c r="A15" s="221">
        <v>2021</v>
      </c>
      <c r="B15" s="313">
        <f>ENVASOS!C46</f>
        <v>611420.00000000012</v>
      </c>
      <c r="C15" s="313">
        <f>ENVASOS!D46</f>
        <v>573540</v>
      </c>
      <c r="D15" s="313">
        <f>ENVASOS!E46</f>
        <v>653820.03</v>
      </c>
      <c r="E15" s="313">
        <f>ENVASOS!F46</f>
        <v>637280.00999999989</v>
      </c>
      <c r="F15" s="313">
        <f>ENVASOS!G46</f>
        <v>644292.0199999999</v>
      </c>
      <c r="G15" s="313">
        <f>ENVASOS!H46</f>
        <v>653300</v>
      </c>
      <c r="H15" s="313">
        <f>ENVASOS!I46</f>
        <v>661860</v>
      </c>
      <c r="I15" s="313">
        <f>ENVASOS!J46</f>
        <v>608320.0199999999</v>
      </c>
      <c r="J15" s="313">
        <f>ENVASOS!K46</f>
        <v>637879.98999999976</v>
      </c>
      <c r="K15" s="313">
        <f>ENVASOS!L46</f>
        <v>626710.02</v>
      </c>
      <c r="L15" s="313">
        <f>ENVASOS!M46</f>
        <v>0</v>
      </c>
      <c r="M15" s="313">
        <f>ENVASOS!N46</f>
        <v>0</v>
      </c>
      <c r="N15" s="314">
        <f>SUM(B15:M15)</f>
        <v>6308422.0899999999</v>
      </c>
    </row>
    <row r="16" spans="1:17" x14ac:dyDescent="0.25">
      <c r="A16" s="264" t="s">
        <v>134</v>
      </c>
      <c r="B16" s="258">
        <f>(B15/B14)-1</f>
        <v>1.9407149935215084E-2</v>
      </c>
      <c r="C16" s="258">
        <f t="shared" ref="C16" si="1">(C15/C14)-1</f>
        <v>8.5304531202240685E-2</v>
      </c>
      <c r="D16" s="258">
        <f t="shared" ref="D16" si="2">(D15/D14)-1</f>
        <v>8.7850703803534325E-2</v>
      </c>
      <c r="E16" s="258">
        <f t="shared" ref="E16" si="3">(E15/E14)-1</f>
        <v>4.0649599516291435E-3</v>
      </c>
      <c r="F16" s="258">
        <f t="shared" ref="F16" si="4">(F15/F14)-1</f>
        <v>1.5592685510949389E-2</v>
      </c>
      <c r="G16" s="258">
        <f t="shared" ref="G16" si="5">(G15/G14)-1</f>
        <v>-2.5361807388876056E-2</v>
      </c>
      <c r="H16" s="258">
        <f t="shared" ref="H16" si="6">(H15/H14)-1</f>
        <v>1.8684705447885364E-2</v>
      </c>
      <c r="I16" s="258">
        <f t="shared" ref="I16" si="7">(I15/I14)-1</f>
        <v>3.8655920002188093E-2</v>
      </c>
      <c r="J16" s="258">
        <f t="shared" ref="J16" si="8">(J15/J14)-1</f>
        <v>4.5190856215125752E-2</v>
      </c>
      <c r="K16" s="258">
        <f t="shared" ref="K16" si="9">(K15/K14)-1</f>
        <v>-9.8429078560826611E-3</v>
      </c>
      <c r="L16" s="258">
        <f t="shared" ref="L16" si="10">(L15/L14)-1</f>
        <v>-1</v>
      </c>
      <c r="M16" s="258">
        <f t="shared" ref="M16" si="11">(M15/M14)-1</f>
        <v>-1</v>
      </c>
      <c r="N16" s="258">
        <f>(N15/N14)-1</f>
        <v>-0.15107831563229135</v>
      </c>
    </row>
    <row r="17" spans="1:14" x14ac:dyDescent="0.25">
      <c r="A17" s="221" t="s">
        <v>63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4" x14ac:dyDescent="0.25">
      <c r="A18" s="221">
        <v>2017</v>
      </c>
      <c r="B18" s="239">
        <v>565059.97000000009</v>
      </c>
      <c r="C18" s="240">
        <v>455340.12999999995</v>
      </c>
      <c r="D18" s="240">
        <v>417819.99999999994</v>
      </c>
      <c r="E18" s="240">
        <v>393319.99999999988</v>
      </c>
      <c r="F18" s="240">
        <v>510600.33</v>
      </c>
      <c r="G18" s="240">
        <v>475780.1100000001</v>
      </c>
      <c r="H18" s="240">
        <v>439540.02999999985</v>
      </c>
      <c r="I18" s="240">
        <v>459579.98999999993</v>
      </c>
      <c r="J18" s="240">
        <v>511720.00999999995</v>
      </c>
      <c r="K18" s="240">
        <v>476500.01</v>
      </c>
      <c r="L18" s="240">
        <v>442320.01999999996</v>
      </c>
      <c r="M18" s="240">
        <v>394320.00000000006</v>
      </c>
      <c r="N18" s="262">
        <f>SUM(B18:M18)</f>
        <v>5541900.5999999987</v>
      </c>
    </row>
    <row r="19" spans="1:14" x14ac:dyDescent="0.25">
      <c r="A19" s="221">
        <v>2018</v>
      </c>
      <c r="B19" s="239">
        <v>665919.99</v>
      </c>
      <c r="C19" s="240">
        <v>362839.65</v>
      </c>
      <c r="D19" s="240">
        <v>451140.36999999994</v>
      </c>
      <c r="E19" s="240">
        <v>461399.97999999986</v>
      </c>
      <c r="F19" s="240">
        <v>441439.95</v>
      </c>
      <c r="G19" s="240">
        <v>445120.02999999985</v>
      </c>
      <c r="H19" s="240">
        <v>494700</v>
      </c>
      <c r="I19" s="240">
        <v>532180.97</v>
      </c>
      <c r="J19" s="240">
        <v>428980</v>
      </c>
      <c r="K19" s="240">
        <v>455039.99000000011</v>
      </c>
      <c r="L19" s="240">
        <v>426259.8000000001</v>
      </c>
      <c r="M19" s="240">
        <v>493020.04000000004</v>
      </c>
      <c r="N19" s="262">
        <f>SUM(B19:M19)</f>
        <v>5658040.7699999996</v>
      </c>
    </row>
    <row r="20" spans="1:14" x14ac:dyDescent="0.25">
      <c r="A20" s="221">
        <v>2019</v>
      </c>
      <c r="B20" s="239">
        <v>613340</v>
      </c>
      <c r="C20" s="240">
        <v>429160</v>
      </c>
      <c r="D20" s="240">
        <v>422100</v>
      </c>
      <c r="E20" s="240">
        <v>464379.98999999993</v>
      </c>
      <c r="F20" s="240">
        <v>473939.96</v>
      </c>
      <c r="G20" s="240">
        <v>412300.00000000006</v>
      </c>
      <c r="H20" s="240">
        <v>549179.96999999974</v>
      </c>
      <c r="I20" s="240">
        <v>459940.02</v>
      </c>
      <c r="J20" s="240">
        <v>546939.98999999987</v>
      </c>
      <c r="K20" s="240">
        <v>542460.10000000009</v>
      </c>
      <c r="L20" s="240">
        <v>420879.99999999994</v>
      </c>
      <c r="M20" s="240">
        <v>530479.97</v>
      </c>
      <c r="N20" s="262">
        <f>SUM(B20:M20)</f>
        <v>5865099.9999999991</v>
      </c>
    </row>
    <row r="21" spans="1:14" x14ac:dyDescent="0.25">
      <c r="A21" s="221">
        <v>2020</v>
      </c>
      <c r="B21" s="254">
        <v>726420.00000000012</v>
      </c>
      <c r="C21" s="254">
        <v>449399.99000000011</v>
      </c>
      <c r="D21" s="254">
        <v>555159.99999999977</v>
      </c>
      <c r="E21" s="254">
        <v>510319.98999999993</v>
      </c>
      <c r="F21" s="254">
        <v>465120.02</v>
      </c>
      <c r="G21" s="254">
        <v>611160.01000000013</v>
      </c>
      <c r="H21" s="254">
        <v>671139.98</v>
      </c>
      <c r="I21" s="254">
        <v>550080.00000000023</v>
      </c>
      <c r="J21" s="254">
        <v>554559.98999999987</v>
      </c>
      <c r="K21" s="254">
        <v>484320.0199999999</v>
      </c>
      <c r="L21" s="254">
        <v>515559.98999999993</v>
      </c>
      <c r="M21" s="254">
        <v>617980.03000000026</v>
      </c>
      <c r="N21" s="261">
        <f>SUM(B21:M21)</f>
        <v>6711220.0200000005</v>
      </c>
    </row>
    <row r="22" spans="1:14" ht="15.75" thickBot="1" x14ac:dyDescent="0.3">
      <c r="A22" s="221">
        <v>2021</v>
      </c>
      <c r="B22" s="313">
        <f>VIDRE!C47</f>
        <v>627259.98</v>
      </c>
      <c r="C22" s="313">
        <f>VIDRE!D47</f>
        <v>459300</v>
      </c>
      <c r="D22" s="313">
        <f>VIDRE!E47</f>
        <v>548899.9800000001</v>
      </c>
      <c r="E22" s="313">
        <f>VIDRE!F47</f>
        <v>625180.02000000014</v>
      </c>
      <c r="F22" s="313">
        <f>VIDRE!G47</f>
        <v>455239.99000000017</v>
      </c>
      <c r="G22" s="313">
        <f>VIDRE!H47</f>
        <v>541920.00999999989</v>
      </c>
      <c r="H22" s="313">
        <f>VIDRE!I47</f>
        <v>602060.00999999989</v>
      </c>
      <c r="I22" s="313">
        <f>VIDRE!J47</f>
        <v>566870.00999999966</v>
      </c>
      <c r="J22" s="313">
        <f>VIDRE!K47</f>
        <v>591860</v>
      </c>
      <c r="K22" s="313">
        <f>VIDRE!L47</f>
        <v>512980.00000000012</v>
      </c>
      <c r="L22" s="313">
        <f>VIDRE!M47</f>
        <v>0</v>
      </c>
      <c r="M22" s="313">
        <f>VIDRE!N47</f>
        <v>0</v>
      </c>
      <c r="N22" s="314">
        <f>SUM(B22:M22)</f>
        <v>5531569.9999999991</v>
      </c>
    </row>
    <row r="23" spans="1:14" x14ac:dyDescent="0.25">
      <c r="A23" s="264" t="s">
        <v>134</v>
      </c>
      <c r="B23" s="258">
        <f>(B22/B21)-1</f>
        <v>-0.13650507970595538</v>
      </c>
      <c r="C23" s="258">
        <f t="shared" ref="C23" si="12">(C22/C21)-1</f>
        <v>2.2029395238749139E-2</v>
      </c>
      <c r="D23" s="258">
        <f t="shared" ref="D23" si="13">(D22/D21)-1</f>
        <v>-1.1276064557964705E-2</v>
      </c>
      <c r="E23" s="258">
        <f t="shared" ref="E23" si="14">(E22/E21)-1</f>
        <v>0.22507452627909053</v>
      </c>
      <c r="F23" s="258">
        <f t="shared" ref="F23" si="15">(F22/F21)-1</f>
        <v>-2.1241893651449018E-2</v>
      </c>
      <c r="G23" s="258">
        <f t="shared" ref="G23" si="16">(G22/G21)-1</f>
        <v>-0.11329275290770446</v>
      </c>
      <c r="H23" s="258">
        <f t="shared" ref="H23" si="17">(H22/H21)-1</f>
        <v>-0.10292930246831677</v>
      </c>
      <c r="I23" s="258">
        <f t="shared" ref="I23" si="18">(I22/I21)-1</f>
        <v>3.0522851221639336E-2</v>
      </c>
      <c r="J23" s="258">
        <f t="shared" ref="J23" si="19">(J22/J21)-1</f>
        <v>6.7260550116498896E-2</v>
      </c>
      <c r="K23" s="258">
        <f t="shared" ref="K23" si="20">(K22/K21)-1</f>
        <v>5.9175707830537716E-2</v>
      </c>
      <c r="L23" s="258">
        <f t="shared" ref="L23" si="21">(L22/L21)-1</f>
        <v>-1</v>
      </c>
      <c r="M23" s="258">
        <f t="shared" ref="M23" si="22">(M22/M21)-1</f>
        <v>-1</v>
      </c>
      <c r="N23" s="258">
        <f>(N22/N21)-1</f>
        <v>-0.17577281276497347</v>
      </c>
    </row>
    <row r="24" spans="1:14" x14ac:dyDescent="0.25">
      <c r="A24" s="221" t="s">
        <v>64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4" x14ac:dyDescent="0.25">
      <c r="A25" s="221">
        <v>2017</v>
      </c>
      <c r="B25" s="222">
        <v>1134540</v>
      </c>
      <c r="C25" s="223">
        <v>1119440</v>
      </c>
      <c r="D25" s="223">
        <v>1153520</v>
      </c>
      <c r="E25" s="223">
        <v>1200540</v>
      </c>
      <c r="F25" s="223">
        <v>1276000</v>
      </c>
      <c r="G25" s="223">
        <v>1270280</v>
      </c>
      <c r="H25" s="223">
        <v>1249100</v>
      </c>
      <c r="I25" s="223">
        <v>1274940</v>
      </c>
      <c r="J25" s="223">
        <v>1182980</v>
      </c>
      <c r="K25" s="223">
        <v>1229580</v>
      </c>
      <c r="L25" s="223">
        <v>1123760</v>
      </c>
      <c r="M25" s="223">
        <v>1149580</v>
      </c>
      <c r="N25" s="260">
        <f>SUM(B25:M25)</f>
        <v>14364260</v>
      </c>
    </row>
    <row r="26" spans="1:14" x14ac:dyDescent="0.25">
      <c r="A26" s="221">
        <v>2018</v>
      </c>
      <c r="B26" s="222">
        <v>1340779</v>
      </c>
      <c r="C26" s="223">
        <v>1082860</v>
      </c>
      <c r="D26" s="223">
        <v>1324600</v>
      </c>
      <c r="E26" s="223">
        <v>1294260</v>
      </c>
      <c r="F26" s="223">
        <v>1317200</v>
      </c>
      <c r="G26" s="223">
        <v>1336220</v>
      </c>
      <c r="H26" s="223">
        <v>1378020</v>
      </c>
      <c r="I26" s="223">
        <v>1315139</v>
      </c>
      <c r="J26" s="223">
        <v>1240140</v>
      </c>
      <c r="K26" s="223">
        <v>1321720</v>
      </c>
      <c r="L26" s="223">
        <v>1140760</v>
      </c>
      <c r="M26" s="223">
        <v>1115400</v>
      </c>
      <c r="N26" s="260">
        <f>SUM(B26:M26)</f>
        <v>15207098</v>
      </c>
    </row>
    <row r="27" spans="1:14" x14ac:dyDescent="0.25">
      <c r="A27" s="221">
        <v>2019</v>
      </c>
      <c r="B27" s="239">
        <v>1037280.0100000001</v>
      </c>
      <c r="C27" s="240">
        <v>988299</v>
      </c>
      <c r="D27" s="240">
        <v>1061900</v>
      </c>
      <c r="E27" s="240">
        <v>1040420</v>
      </c>
      <c r="F27" s="240">
        <v>1131120</v>
      </c>
      <c r="G27" s="240">
        <v>1104280</v>
      </c>
      <c r="H27" s="240">
        <v>1196720</v>
      </c>
      <c r="I27" s="240">
        <v>1076958.8199999998</v>
      </c>
      <c r="J27" s="240">
        <v>1075740</v>
      </c>
      <c r="K27" s="240">
        <v>1041840</v>
      </c>
      <c r="L27" s="240">
        <v>1021720</v>
      </c>
      <c r="M27" s="240">
        <v>1090399.99</v>
      </c>
      <c r="N27" s="262">
        <f>SUM(B27:M27)</f>
        <v>12866677.82</v>
      </c>
    </row>
    <row r="28" spans="1:14" x14ac:dyDescent="0.25">
      <c r="A28" s="221">
        <v>2020</v>
      </c>
      <c r="B28" s="254">
        <v>1107820</v>
      </c>
      <c r="C28" s="254">
        <v>987120</v>
      </c>
      <c r="D28" s="254">
        <v>1097660</v>
      </c>
      <c r="E28" s="254">
        <v>1195580</v>
      </c>
      <c r="F28" s="254">
        <v>1236660</v>
      </c>
      <c r="G28" s="254">
        <v>1260060.1000000001</v>
      </c>
      <c r="H28" s="254">
        <v>1224420</v>
      </c>
      <c r="I28" s="254">
        <v>1162340</v>
      </c>
      <c r="J28" s="254">
        <v>1103480</v>
      </c>
      <c r="K28" s="254">
        <v>1114620</v>
      </c>
      <c r="L28" s="254">
        <v>1091280</v>
      </c>
      <c r="M28" s="254">
        <v>1113780</v>
      </c>
      <c r="N28" s="261">
        <f>SUM(B28:M28)</f>
        <v>13694820.1</v>
      </c>
    </row>
    <row r="29" spans="1:14" ht="15.75" thickBot="1" x14ac:dyDescent="0.3">
      <c r="A29" s="221">
        <v>2021</v>
      </c>
      <c r="B29" s="313">
        <f>RMO!C44</f>
        <v>1082420</v>
      </c>
      <c r="C29" s="313">
        <f>RMO!D44</f>
        <v>984360.01</v>
      </c>
      <c r="D29" s="313">
        <f>RMO!E44</f>
        <v>1175640</v>
      </c>
      <c r="E29" s="313">
        <f>RMO!F44</f>
        <v>1120218</v>
      </c>
      <c r="F29" s="313">
        <f>RMO!G44</f>
        <v>1237280</v>
      </c>
      <c r="G29" s="313">
        <f>RMO!H44</f>
        <v>1206140</v>
      </c>
      <c r="H29" s="313">
        <f>RMO!I44</f>
        <v>1204900</v>
      </c>
      <c r="I29" s="313">
        <f>RMO!J44</f>
        <v>1124120</v>
      </c>
      <c r="J29" s="313">
        <f>RMO!K44</f>
        <v>1116260</v>
      </c>
      <c r="K29" s="313">
        <f>RMO!L44</f>
        <v>1399540</v>
      </c>
      <c r="L29" s="313">
        <f>RMO!M44</f>
        <v>0</v>
      </c>
      <c r="M29" s="313">
        <f>RMO!N44</f>
        <v>0</v>
      </c>
      <c r="N29" s="314">
        <f>SUM(B29:M29)</f>
        <v>11650878.01</v>
      </c>
    </row>
    <row r="30" spans="1:14" x14ac:dyDescent="0.25">
      <c r="A30" s="264" t="s">
        <v>134</v>
      </c>
      <c r="B30" s="258">
        <f>(B29/B28)-1</f>
        <v>-2.2927912476756185E-2</v>
      </c>
      <c r="C30" s="258">
        <f t="shared" ref="C30" si="23">(C29/C28)-1</f>
        <v>-2.7960025123592303E-3</v>
      </c>
      <c r="D30" s="258">
        <f t="shared" ref="D30" si="24">(D29/D28)-1</f>
        <v>7.1042034874186921E-2</v>
      </c>
      <c r="E30" s="258">
        <f t="shared" ref="E30" si="25">(E29/E28)-1</f>
        <v>-6.3033841315512151E-2</v>
      </c>
      <c r="F30" s="258">
        <f t="shared" ref="F30" si="26">(F29/F28)-1</f>
        <v>5.0135041159249383E-4</v>
      </c>
      <c r="G30" s="258">
        <f t="shared" ref="G30" si="27">(G29/G28)-1</f>
        <v>-4.2791689063085281E-2</v>
      </c>
      <c r="H30" s="258">
        <f t="shared" ref="H30" si="28">(H29/H28)-1</f>
        <v>-1.5942242041129706E-2</v>
      </c>
      <c r="I30" s="258">
        <f t="shared" ref="I30" si="29">(I29/I28)-1</f>
        <v>-3.2881945041898231E-2</v>
      </c>
      <c r="J30" s="258">
        <f t="shared" ref="J30" si="30">(J29/J28)-1</f>
        <v>1.1581542030666636E-2</v>
      </c>
      <c r="K30" s="258">
        <f t="shared" ref="K30" si="31">(K29/K28)-1</f>
        <v>0.25562074967253423</v>
      </c>
      <c r="L30" s="258">
        <f t="shared" ref="L30" si="32">(L29/L28)-1</f>
        <v>-1</v>
      </c>
      <c r="M30" s="258">
        <f t="shared" ref="M30" si="33">(M29/M28)-1</f>
        <v>-1</v>
      </c>
      <c r="N30" s="258">
        <f>(N29/N28)-1</f>
        <v>-0.14924928367624191</v>
      </c>
    </row>
    <row r="31" spans="1:14" x14ac:dyDescent="0.25">
      <c r="A31" s="221" t="s">
        <v>65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5">
      <c r="A32" s="221">
        <v>2017</v>
      </c>
      <c r="B32" s="222">
        <v>375440.00000000006</v>
      </c>
      <c r="C32" s="223">
        <v>429180</v>
      </c>
      <c r="D32" s="223">
        <v>526579.5</v>
      </c>
      <c r="E32" s="223">
        <v>523220</v>
      </c>
      <c r="F32" s="223">
        <v>556680</v>
      </c>
      <c r="G32" s="223">
        <v>530059.36</v>
      </c>
      <c r="H32" s="223">
        <v>540060</v>
      </c>
      <c r="I32" s="223">
        <v>490059.99999999994</v>
      </c>
      <c r="J32" s="223">
        <v>470480</v>
      </c>
      <c r="K32" s="223">
        <v>478960</v>
      </c>
      <c r="L32" s="223">
        <v>456300</v>
      </c>
      <c r="M32" s="223">
        <v>435505.00000000006</v>
      </c>
      <c r="N32" s="260">
        <f>SUM(B32:M32)</f>
        <v>5812523.8599999994</v>
      </c>
    </row>
    <row r="33" spans="1:14" x14ac:dyDescent="0.25">
      <c r="A33" s="221">
        <v>2018</v>
      </c>
      <c r="B33" s="256">
        <v>434371</v>
      </c>
      <c r="C33" s="257">
        <v>373740.01</v>
      </c>
      <c r="D33" s="257">
        <v>483000</v>
      </c>
      <c r="E33" s="257">
        <v>516380</v>
      </c>
      <c r="F33" s="257">
        <v>545080.01</v>
      </c>
      <c r="G33" s="257">
        <v>526860</v>
      </c>
      <c r="H33" s="257">
        <v>519200</v>
      </c>
      <c r="I33" s="257">
        <v>483280.00000000006</v>
      </c>
      <c r="J33" s="257">
        <v>463520</v>
      </c>
      <c r="K33" s="257">
        <v>461940</v>
      </c>
      <c r="L33" s="257">
        <v>434380.00000000006</v>
      </c>
      <c r="M33" s="257">
        <v>455420.01</v>
      </c>
      <c r="N33" s="263">
        <f>SUM(B33:M33)</f>
        <v>5697171.0299999993</v>
      </c>
    </row>
    <row r="34" spans="1:14" x14ac:dyDescent="0.25">
      <c r="A34" s="221">
        <v>2019</v>
      </c>
      <c r="B34" s="239">
        <v>405240</v>
      </c>
      <c r="C34" s="240">
        <v>382840</v>
      </c>
      <c r="D34" s="240">
        <v>437290</v>
      </c>
      <c r="E34" s="240">
        <v>452979.99</v>
      </c>
      <c r="F34" s="240">
        <v>513380</v>
      </c>
      <c r="G34" s="240">
        <v>485940.01</v>
      </c>
      <c r="H34" s="240">
        <v>532980.03</v>
      </c>
      <c r="I34" s="240">
        <v>474860</v>
      </c>
      <c r="J34" s="240">
        <v>485100</v>
      </c>
      <c r="K34" s="240">
        <v>472620</v>
      </c>
      <c r="L34" s="240">
        <v>436300</v>
      </c>
      <c r="M34" s="240">
        <v>479600.01</v>
      </c>
      <c r="N34" s="262">
        <f>SUM(B34:M34)</f>
        <v>5559130.04</v>
      </c>
    </row>
    <row r="35" spans="1:14" x14ac:dyDescent="0.25">
      <c r="A35" s="221">
        <v>2020</v>
      </c>
      <c r="B35" s="254">
        <v>440780.04</v>
      </c>
      <c r="C35" s="254">
        <v>433039.99</v>
      </c>
      <c r="D35" s="254">
        <v>478840</v>
      </c>
      <c r="E35" s="254">
        <v>534160</v>
      </c>
      <c r="F35" s="254">
        <v>574699.99999999988</v>
      </c>
      <c r="G35" s="254">
        <v>578519.99999999988</v>
      </c>
      <c r="H35" s="254">
        <v>560240.01000000013</v>
      </c>
      <c r="I35" s="254">
        <v>538654</v>
      </c>
      <c r="J35" s="254">
        <v>508699.99</v>
      </c>
      <c r="K35" s="254">
        <v>486720</v>
      </c>
      <c r="L35" s="254">
        <v>479620</v>
      </c>
      <c r="M35" s="254">
        <v>459880</v>
      </c>
      <c r="N35" s="261">
        <f>SUM(B35:M35)</f>
        <v>6073854.0300000003</v>
      </c>
    </row>
    <row r="36" spans="1:14" ht="15.75" thickBot="1" x14ac:dyDescent="0.3">
      <c r="A36" s="221">
        <v>2021</v>
      </c>
      <c r="B36" s="313">
        <f>FORM!C44</f>
        <v>430299.99999999994</v>
      </c>
      <c r="C36" s="313">
        <f>FORM!D44</f>
        <v>424100</v>
      </c>
      <c r="D36" s="313">
        <f>FORM!E44</f>
        <v>513779.99</v>
      </c>
      <c r="E36" s="313">
        <f>FORM!F44</f>
        <v>507720</v>
      </c>
      <c r="F36" s="313">
        <f>FORM!G44</f>
        <v>571600.01</v>
      </c>
      <c r="G36" s="313">
        <f>FORM!H44</f>
        <v>545060</v>
      </c>
      <c r="H36" s="313">
        <f>FORM!I44</f>
        <v>514319.99</v>
      </c>
      <c r="I36" s="313">
        <f>FORM!J44</f>
        <v>483699.99</v>
      </c>
      <c r="J36" s="313">
        <f>FORM!K44</f>
        <v>476529.99999999994</v>
      </c>
      <c r="K36" s="313">
        <f>FORM!L44</f>
        <v>495819.99999999994</v>
      </c>
      <c r="L36" s="313">
        <f>FORM!M44</f>
        <v>0</v>
      </c>
      <c r="M36" s="313">
        <f>FORM!N44</f>
        <v>0</v>
      </c>
      <c r="N36" s="314">
        <f>SUM(B36:M36)</f>
        <v>4962929.9800000004</v>
      </c>
    </row>
    <row r="37" spans="1:14" x14ac:dyDescent="0.25">
      <c r="A37" s="264" t="s">
        <v>134</v>
      </c>
      <c r="B37" s="258">
        <f>(B36/B35)-1</f>
        <v>-2.3776121985923049E-2</v>
      </c>
      <c r="C37" s="258">
        <f t="shared" ref="C37" si="34">(C36/C35)-1</f>
        <v>-2.0644721518675468E-2</v>
      </c>
      <c r="D37" s="258">
        <f t="shared" ref="D37" si="35">(D36/D35)-1</f>
        <v>7.2967985130732549E-2</v>
      </c>
      <c r="E37" s="258">
        <f t="shared" ref="E37" si="36">(E36/E35)-1</f>
        <v>-4.9498277669612123E-2</v>
      </c>
      <c r="F37" s="258">
        <f t="shared" ref="F37" si="37">(F36/F35)-1</f>
        <v>-5.3941012702277691E-3</v>
      </c>
      <c r="G37" s="258">
        <f t="shared" ref="G37" si="38">(G36/G35)-1</f>
        <v>-5.7837239853418931E-2</v>
      </c>
      <c r="H37" s="258">
        <f t="shared" ref="H37" si="39">(H36/H35)-1</f>
        <v>-8.1964906433583895E-2</v>
      </c>
      <c r="I37" s="258">
        <f t="shared" ref="I37" si="40">(I36/I35)-1</f>
        <v>-0.10202098192903053</v>
      </c>
      <c r="J37" s="258">
        <f t="shared" ref="J37" si="41">(J36/J35)-1</f>
        <v>-6.3239612015718816E-2</v>
      </c>
      <c r="K37" s="258">
        <f t="shared" ref="K37" si="42">(K36/K35)-1</f>
        <v>1.869658119658113E-2</v>
      </c>
      <c r="L37" s="258">
        <f t="shared" ref="L37" si="43">(L36/L35)-1</f>
        <v>-1</v>
      </c>
      <c r="M37" s="258">
        <f t="shared" ref="M37" si="44">(M36/M35)-1</f>
        <v>-1</v>
      </c>
      <c r="N37" s="258">
        <f>(N36/N35)-1</f>
        <v>-0.1829026585941842</v>
      </c>
    </row>
    <row r="41" spans="1:14" x14ac:dyDescent="0.25">
      <c r="L41" s="251"/>
    </row>
  </sheetData>
  <sheetProtection sheet="1" objects="1" scenarios="1"/>
  <pageMargins left="0.70866141732283472" right="0.70866141732283472" top="0.86" bottom="0.56000000000000005" header="0.19685039370078741" footer="0.31496062992125984"/>
  <pageSetup paperSize="9" scale="80" orientation="landscape" r:id="rId1"/>
  <headerFooter>
    <oddHeader>&amp;L&amp;G&amp;C&amp;F&amp;R&amp;G</oddHeader>
    <oddFooter>&amp;L&amp;D&amp;C&amp;A&amp;R&amp;P de &amp;N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81"/>
  <sheetViews>
    <sheetView workbookViewId="0">
      <selection activeCell="N10" sqref="N10"/>
    </sheetView>
  </sheetViews>
  <sheetFormatPr baseColWidth="10" defaultColWidth="10.85546875" defaultRowHeight="15" x14ac:dyDescent="0.25"/>
  <cols>
    <col min="1" max="1" width="14.7109375" style="390" customWidth="1"/>
    <col min="2" max="2" width="6.7109375" style="373" customWidth="1"/>
    <col min="3" max="4" width="7.85546875" style="373" bestFit="1" customWidth="1"/>
    <col min="5" max="6" width="6.42578125" style="373" bestFit="1" customWidth="1"/>
    <col min="7" max="7" width="6.7109375" style="373" customWidth="1"/>
    <col min="8" max="8" width="7.85546875" style="373" bestFit="1" customWidth="1"/>
    <col min="9" max="9" width="6.42578125" style="373" bestFit="1" customWidth="1"/>
    <col min="10" max="11" width="7.85546875" style="373" bestFit="1" customWidth="1"/>
    <col min="12" max="12" width="6.7109375" style="373" customWidth="1"/>
    <col min="13" max="13" width="6.85546875" style="373" customWidth="1"/>
    <col min="14" max="14" width="6.7109375" style="373" customWidth="1"/>
    <col min="15" max="17" width="7.85546875" style="373" bestFit="1" customWidth="1"/>
    <col min="18" max="18" width="6.7109375" style="373" customWidth="1"/>
    <col min="19" max="20" width="7.85546875" style="373" bestFit="1" customWidth="1"/>
    <col min="21" max="21" width="6.28515625" style="373" bestFit="1" customWidth="1"/>
    <col min="22" max="22" width="7.85546875" style="373" bestFit="1" customWidth="1"/>
    <col min="23" max="24" width="6.7109375" style="373" customWidth="1"/>
    <col min="25" max="25" width="7.85546875" style="373" bestFit="1" customWidth="1"/>
    <col min="26" max="26" width="6.7109375" style="373" customWidth="1"/>
    <col min="27" max="27" width="10.140625" style="3" bestFit="1" customWidth="1"/>
    <col min="28" max="28" width="9" style="3" bestFit="1" customWidth="1"/>
    <col min="29" max="16384" width="10.85546875" style="3"/>
  </cols>
  <sheetData>
    <row r="1" spans="1:28" ht="18.75" x14ac:dyDescent="0.3">
      <c r="A1" s="372" t="s">
        <v>144</v>
      </c>
    </row>
    <row r="2" spans="1:28" ht="18.75" x14ac:dyDescent="0.3">
      <c r="A2" s="372"/>
    </row>
    <row r="3" spans="1:28" ht="15.75" thickBot="1" x14ac:dyDescent="0.3">
      <c r="A3" s="374" t="s">
        <v>146</v>
      </c>
    </row>
    <row r="4" spans="1:28" ht="93" thickBot="1" x14ac:dyDescent="0.3">
      <c r="A4" s="375" t="s">
        <v>128</v>
      </c>
      <c r="B4" s="376" t="s">
        <v>94</v>
      </c>
      <c r="C4" s="377" t="s">
        <v>93</v>
      </c>
      <c r="D4" s="378" t="s">
        <v>92</v>
      </c>
      <c r="E4" s="377" t="s">
        <v>91</v>
      </c>
      <c r="F4" s="377" t="s">
        <v>90</v>
      </c>
      <c r="G4" s="377" t="s">
        <v>89</v>
      </c>
      <c r="H4" s="377" t="s">
        <v>88</v>
      </c>
      <c r="I4" s="377" t="s">
        <v>87</v>
      </c>
      <c r="J4" s="377" t="s">
        <v>86</v>
      </c>
      <c r="K4" s="377" t="s">
        <v>85</v>
      </c>
      <c r="L4" s="377" t="s">
        <v>84</v>
      </c>
      <c r="M4" s="377" t="s">
        <v>83</v>
      </c>
      <c r="N4" s="377" t="s">
        <v>82</v>
      </c>
      <c r="O4" s="378" t="s">
        <v>81</v>
      </c>
      <c r="P4" s="377" t="s">
        <v>80</v>
      </c>
      <c r="Q4" s="378" t="s">
        <v>79</v>
      </c>
      <c r="R4" s="377" t="s">
        <v>78</v>
      </c>
      <c r="S4" s="377" t="s">
        <v>77</v>
      </c>
      <c r="T4" s="377" t="s">
        <v>76</v>
      </c>
      <c r="U4" s="378" t="s">
        <v>75</v>
      </c>
      <c r="V4" s="378" t="s">
        <v>74</v>
      </c>
      <c r="W4" s="377" t="s">
        <v>73</v>
      </c>
      <c r="X4" s="377" t="s">
        <v>72</v>
      </c>
      <c r="Y4" s="379" t="s">
        <v>71</v>
      </c>
      <c r="Z4" s="380" t="s">
        <v>70</v>
      </c>
      <c r="AA4" s="381" t="s">
        <v>38</v>
      </c>
      <c r="AB4" s="381" t="s">
        <v>147</v>
      </c>
    </row>
    <row r="5" spans="1:28" s="384" customFormat="1" ht="16.899999999999999" customHeight="1" x14ac:dyDescent="0.25">
      <c r="A5" s="382" t="s">
        <v>26</v>
      </c>
      <c r="B5" s="323">
        <v>61.857880000000002</v>
      </c>
      <c r="C5" s="323">
        <v>91.988389999999995</v>
      </c>
      <c r="D5" s="323">
        <v>142.94170999999997</v>
      </c>
      <c r="E5" s="323">
        <v>84.318739999999991</v>
      </c>
      <c r="F5" s="323">
        <v>73.127269999999996</v>
      </c>
      <c r="G5" s="323">
        <v>35.134</v>
      </c>
      <c r="H5" s="323">
        <v>133.42572000000001</v>
      </c>
      <c r="I5" s="323">
        <v>86.631560000000007</v>
      </c>
      <c r="J5" s="323">
        <v>217.006</v>
      </c>
      <c r="K5" s="323">
        <v>161.95500000000001</v>
      </c>
      <c r="L5" s="323">
        <v>27.22824</v>
      </c>
      <c r="M5" s="323">
        <v>66.822350000000014</v>
      </c>
      <c r="N5" s="323">
        <v>73.673649999999995</v>
      </c>
      <c r="O5" s="323">
        <v>120.94935</v>
      </c>
      <c r="P5" s="323">
        <v>145.00304000000003</v>
      </c>
      <c r="Q5" s="323">
        <v>172.28209999999999</v>
      </c>
      <c r="R5" s="323">
        <v>39.291580000000003</v>
      </c>
      <c r="S5" s="323">
        <v>172.91757999999999</v>
      </c>
      <c r="T5" s="323">
        <v>75.638419999999996</v>
      </c>
      <c r="U5" s="323">
        <v>64.122469999999993</v>
      </c>
      <c r="V5" s="323">
        <v>66.051770000000005</v>
      </c>
      <c r="W5" s="323">
        <v>51.367999999999995</v>
      </c>
      <c r="X5" s="323">
        <v>51.987730000000006</v>
      </c>
      <c r="Y5" s="323">
        <v>114.45514000000001</v>
      </c>
      <c r="Z5" s="323">
        <v>68.600999999999999</v>
      </c>
      <c r="AA5" s="383">
        <f>SUM(B5:Z5)</f>
        <v>2398.7786899999996</v>
      </c>
      <c r="AB5" s="383">
        <v>2491.2488999999991</v>
      </c>
    </row>
    <row r="6" spans="1:28" s="384" customFormat="1" ht="16.899999999999999" customHeight="1" x14ac:dyDescent="0.25">
      <c r="A6" s="47" t="s">
        <v>27</v>
      </c>
      <c r="B6" s="323">
        <v>55.156999999999996</v>
      </c>
      <c r="C6" s="323">
        <v>98.296790000000001</v>
      </c>
      <c r="D6" s="323">
        <v>172.489</v>
      </c>
      <c r="E6" s="323">
        <v>62.732780000000012</v>
      </c>
      <c r="F6" s="323">
        <v>88.173680000000004</v>
      </c>
      <c r="G6" s="323">
        <v>40.94952</v>
      </c>
      <c r="H6" s="323">
        <v>116.62030000000001</v>
      </c>
      <c r="I6" s="323">
        <v>76.456000000000003</v>
      </c>
      <c r="J6" s="323">
        <v>217.22282999999996</v>
      </c>
      <c r="K6" s="323">
        <v>138.58600000000001</v>
      </c>
      <c r="L6" s="323">
        <v>46.102399999999996</v>
      </c>
      <c r="M6" s="323">
        <v>89.866170000000011</v>
      </c>
      <c r="N6" s="323">
        <v>79.74799999999999</v>
      </c>
      <c r="O6" s="323">
        <v>156.23340999999996</v>
      </c>
      <c r="P6" s="323">
        <v>155.58699999999999</v>
      </c>
      <c r="Q6" s="323">
        <v>221.82666</v>
      </c>
      <c r="R6" s="323">
        <v>50.440750000000008</v>
      </c>
      <c r="S6" s="323">
        <v>168.83382</v>
      </c>
      <c r="T6" s="323">
        <v>83.468000000000032</v>
      </c>
      <c r="U6" s="323">
        <v>89.874850000000009</v>
      </c>
      <c r="V6" s="323">
        <v>106.29782</v>
      </c>
      <c r="W6" s="323">
        <v>49.338639999999991</v>
      </c>
      <c r="X6" s="323">
        <v>69.209090000000003</v>
      </c>
      <c r="Y6" s="323">
        <v>146.95900000000003</v>
      </c>
      <c r="Z6" s="323">
        <v>65.167429999999996</v>
      </c>
      <c r="AA6" s="385">
        <f t="shared" ref="AA6:AA16" si="0">SUM(B6:Z6)</f>
        <v>2645.6369399999994</v>
      </c>
      <c r="AB6" s="385">
        <v>2548.7974899999999</v>
      </c>
    </row>
    <row r="7" spans="1:28" s="384" customFormat="1" ht="16.899999999999999" customHeight="1" x14ac:dyDescent="0.25">
      <c r="A7" s="370" t="s">
        <v>28</v>
      </c>
      <c r="B7" s="323">
        <v>71.32929</v>
      </c>
      <c r="C7" s="323">
        <v>120.86433</v>
      </c>
      <c r="D7" s="323">
        <v>204.62099999999998</v>
      </c>
      <c r="E7" s="323">
        <v>95.499000000000009</v>
      </c>
      <c r="F7" s="323">
        <v>91.226890000000012</v>
      </c>
      <c r="G7" s="323">
        <v>58.374000000000002</v>
      </c>
      <c r="H7" s="323">
        <v>133.10045000000002</v>
      </c>
      <c r="I7" s="323">
        <v>68.82495999999999</v>
      </c>
      <c r="J7" s="323">
        <v>278.81799999999998</v>
      </c>
      <c r="K7" s="323">
        <v>181.57165000000001</v>
      </c>
      <c r="L7" s="323">
        <v>52.518399999999986</v>
      </c>
      <c r="M7" s="323">
        <v>90.442380000000014</v>
      </c>
      <c r="N7" s="323">
        <v>99.097499999999997</v>
      </c>
      <c r="O7" s="323">
        <v>166.25092000000001</v>
      </c>
      <c r="P7" s="323">
        <v>215.29943</v>
      </c>
      <c r="Q7" s="323">
        <v>222.86786999999995</v>
      </c>
      <c r="R7" s="323">
        <v>56.017749999999992</v>
      </c>
      <c r="S7" s="323">
        <v>184.06619000000001</v>
      </c>
      <c r="T7" s="323">
        <v>123.76</v>
      </c>
      <c r="U7" s="323">
        <v>68.691590000000005</v>
      </c>
      <c r="V7" s="323">
        <v>99.505330000000001</v>
      </c>
      <c r="W7" s="323">
        <v>82.042559999999995</v>
      </c>
      <c r="X7" s="323">
        <v>77.213949999999997</v>
      </c>
      <c r="Y7" s="323">
        <v>158.87722000000002</v>
      </c>
      <c r="Z7" s="323">
        <v>71.386970000000005</v>
      </c>
      <c r="AA7" s="386">
        <f t="shared" si="0"/>
        <v>3072.2676299999998</v>
      </c>
      <c r="AB7" s="386">
        <v>1569.06774</v>
      </c>
    </row>
    <row r="8" spans="1:28" s="384" customFormat="1" ht="16.899999999999999" customHeight="1" x14ac:dyDescent="0.25">
      <c r="A8" s="47" t="s">
        <v>29</v>
      </c>
      <c r="B8" s="323">
        <v>87.41028</v>
      </c>
      <c r="C8" s="323">
        <v>99.631590000000017</v>
      </c>
      <c r="D8" s="323">
        <v>185.34705999999997</v>
      </c>
      <c r="E8" s="323">
        <v>87.285130000000009</v>
      </c>
      <c r="F8" s="323">
        <v>100.96039999999999</v>
      </c>
      <c r="G8" s="323">
        <v>71.559190000000001</v>
      </c>
      <c r="H8" s="323">
        <v>131.94614000000001</v>
      </c>
      <c r="I8" s="323">
        <v>87.98572999999999</v>
      </c>
      <c r="J8" s="323">
        <v>270.67200000000003</v>
      </c>
      <c r="K8" s="323">
        <v>194.87602000000001</v>
      </c>
      <c r="L8" s="323">
        <v>52.320419999999984</v>
      </c>
      <c r="M8" s="323">
        <v>128.09009</v>
      </c>
      <c r="N8" s="323">
        <v>92.435000000000016</v>
      </c>
      <c r="O8" s="323">
        <v>191.01782</v>
      </c>
      <c r="P8" s="323">
        <v>177.87607999999997</v>
      </c>
      <c r="Q8" s="323">
        <v>192.88900000000001</v>
      </c>
      <c r="R8" s="323">
        <v>45.746639999999992</v>
      </c>
      <c r="S8" s="323">
        <v>155.48199000000002</v>
      </c>
      <c r="T8" s="323">
        <v>100.00032999999999</v>
      </c>
      <c r="U8" s="323">
        <v>98.803519999999992</v>
      </c>
      <c r="V8" s="323">
        <v>123.55847999999999</v>
      </c>
      <c r="W8" s="323">
        <v>68.338070000000016</v>
      </c>
      <c r="X8" s="323">
        <v>76.605619999999988</v>
      </c>
      <c r="Y8" s="323">
        <v>161.76102999999998</v>
      </c>
      <c r="Z8" s="323">
        <v>105.34677000000001</v>
      </c>
      <c r="AA8" s="385">
        <f t="shared" si="0"/>
        <v>3087.9444000000003</v>
      </c>
      <c r="AB8" s="385">
        <v>289.32741000000004</v>
      </c>
    </row>
    <row r="9" spans="1:28" s="384" customFormat="1" ht="16.899999999999999" customHeight="1" x14ac:dyDescent="0.25">
      <c r="A9" s="370" t="s">
        <v>30</v>
      </c>
      <c r="B9" s="323">
        <v>75.38</v>
      </c>
      <c r="C9" s="323">
        <v>130.87138999999999</v>
      </c>
      <c r="D9" s="323">
        <v>194.42099999999999</v>
      </c>
      <c r="E9" s="323">
        <v>95.056129999999996</v>
      </c>
      <c r="F9" s="323">
        <v>118.41034999999999</v>
      </c>
      <c r="G9" s="323">
        <v>63.127999999999986</v>
      </c>
      <c r="H9" s="323">
        <v>150.62662</v>
      </c>
      <c r="I9" s="323">
        <v>83.536279999999991</v>
      </c>
      <c r="J9" s="323">
        <v>225.66849999999999</v>
      </c>
      <c r="K9" s="323">
        <v>152.93848000000003</v>
      </c>
      <c r="L9" s="323">
        <v>46.39</v>
      </c>
      <c r="M9" s="323">
        <v>92.83</v>
      </c>
      <c r="N9" s="323">
        <v>108.31729</v>
      </c>
      <c r="O9" s="323">
        <v>174.65284000000003</v>
      </c>
      <c r="P9" s="323">
        <v>181.12545</v>
      </c>
      <c r="Q9" s="323">
        <v>213.0445</v>
      </c>
      <c r="R9" s="323">
        <v>59.015709999999991</v>
      </c>
      <c r="S9" s="323">
        <v>198.63324</v>
      </c>
      <c r="T9" s="323">
        <v>119.667</v>
      </c>
      <c r="U9" s="323">
        <v>81.934489999999997</v>
      </c>
      <c r="V9" s="323">
        <v>120.94490999999998</v>
      </c>
      <c r="W9" s="323">
        <v>71.456549999999993</v>
      </c>
      <c r="X9" s="323">
        <v>85.253950000000003</v>
      </c>
      <c r="Y9" s="323">
        <v>200.29311999999999</v>
      </c>
      <c r="Z9" s="323">
        <v>87.772049999999993</v>
      </c>
      <c r="AA9" s="386">
        <f t="shared" si="0"/>
        <v>3131.3678500000001</v>
      </c>
      <c r="AB9" s="386">
        <v>2441.0400100000006</v>
      </c>
    </row>
    <row r="10" spans="1:28" s="384" customFormat="1" ht="16.899999999999999" customHeight="1" x14ac:dyDescent="0.25">
      <c r="A10" s="47" t="s">
        <v>31</v>
      </c>
      <c r="B10" s="323">
        <v>84.785219999999995</v>
      </c>
      <c r="C10" s="323">
        <v>95.139189999999985</v>
      </c>
      <c r="D10" s="323">
        <v>229.11305000000004</v>
      </c>
      <c r="E10" s="323">
        <v>108.62200000000001</v>
      </c>
      <c r="F10" s="323">
        <v>116.23464</v>
      </c>
      <c r="G10" s="323">
        <v>51.16299999999999</v>
      </c>
      <c r="H10" s="323">
        <v>139.31779</v>
      </c>
      <c r="I10" s="323">
        <v>70.198000000000008</v>
      </c>
      <c r="J10" s="323">
        <v>245.33359999999999</v>
      </c>
      <c r="K10" s="323">
        <v>224.21402999999995</v>
      </c>
      <c r="L10" s="323">
        <v>55.460679999999996</v>
      </c>
      <c r="M10" s="323">
        <v>94.511359999999996</v>
      </c>
      <c r="N10" s="323">
        <v>93.593050000000019</v>
      </c>
      <c r="O10" s="323">
        <v>164.26350999999997</v>
      </c>
      <c r="P10" s="323">
        <v>170.29939999999999</v>
      </c>
      <c r="Q10" s="323">
        <v>187.5</v>
      </c>
      <c r="R10" s="323">
        <v>59.033390000000004</v>
      </c>
      <c r="S10" s="323">
        <v>179.97162999999998</v>
      </c>
      <c r="T10" s="323">
        <v>115.70437999999999</v>
      </c>
      <c r="U10" s="323">
        <v>82.434150000000002</v>
      </c>
      <c r="V10" s="323">
        <v>104.09616999999997</v>
      </c>
      <c r="W10" s="323">
        <v>70.881820000000019</v>
      </c>
      <c r="X10" s="323">
        <v>65.345250000000007</v>
      </c>
      <c r="Y10" s="323">
        <v>166.61771999999999</v>
      </c>
      <c r="Z10" s="323">
        <v>71.747700000000009</v>
      </c>
      <c r="AA10" s="385">
        <f t="shared" si="0"/>
        <v>3045.5807299999997</v>
      </c>
      <c r="AB10" s="385">
        <v>3232.2370599999999</v>
      </c>
    </row>
    <row r="11" spans="1:28" s="384" customFormat="1" ht="16.899999999999999" customHeight="1" x14ac:dyDescent="0.25">
      <c r="A11" s="387" t="s">
        <v>32</v>
      </c>
      <c r="B11" s="323">
        <v>76.975369999999998</v>
      </c>
      <c r="C11" s="323">
        <v>125.87006999999998</v>
      </c>
      <c r="D11" s="323">
        <v>194.488</v>
      </c>
      <c r="E11" s="323">
        <v>118.75297999999999</v>
      </c>
      <c r="F11" s="323">
        <v>101.21867999999999</v>
      </c>
      <c r="G11" s="323">
        <v>64.692000000000021</v>
      </c>
      <c r="H11" s="323">
        <v>152.82003</v>
      </c>
      <c r="I11" s="323">
        <v>103.53655999999998</v>
      </c>
      <c r="J11" s="323">
        <v>298.18200000000002</v>
      </c>
      <c r="K11" s="323">
        <v>173.60099999999997</v>
      </c>
      <c r="L11" s="323">
        <v>44.294640000000001</v>
      </c>
      <c r="M11" s="323">
        <v>97.849810000000005</v>
      </c>
      <c r="N11" s="323">
        <v>89.173099999999991</v>
      </c>
      <c r="O11" s="323">
        <v>181.03091000000003</v>
      </c>
      <c r="P11" s="323">
        <v>140.24500000000003</v>
      </c>
      <c r="Q11" s="323">
        <v>170.53775999999999</v>
      </c>
      <c r="R11" s="323">
        <v>60.138500000000001</v>
      </c>
      <c r="S11" s="323">
        <v>173.83955</v>
      </c>
      <c r="T11" s="323">
        <v>96.763900000000007</v>
      </c>
      <c r="U11" s="323">
        <v>82.139050000000012</v>
      </c>
      <c r="V11" s="323">
        <v>125.31350000000003</v>
      </c>
      <c r="W11" s="323">
        <v>91.188569999999984</v>
      </c>
      <c r="X11" s="323">
        <v>85.012329999999992</v>
      </c>
      <c r="Y11" s="323">
        <v>165.923</v>
      </c>
      <c r="Z11" s="323">
        <v>78.52243</v>
      </c>
      <c r="AA11" s="386">
        <f t="shared" si="0"/>
        <v>3092.1087400000006</v>
      </c>
      <c r="AB11" s="386">
        <v>3075.3386500000001</v>
      </c>
    </row>
    <row r="12" spans="1:28" s="384" customFormat="1" ht="16.899999999999999" customHeight="1" x14ac:dyDescent="0.25">
      <c r="A12" s="47" t="s">
        <v>33</v>
      </c>
      <c r="B12" s="323">
        <v>72.317179999999993</v>
      </c>
      <c r="C12" s="323">
        <v>107.54718000000001</v>
      </c>
      <c r="D12" s="323">
        <v>161.3135</v>
      </c>
      <c r="E12" s="323">
        <v>91.519460000000009</v>
      </c>
      <c r="F12" s="323">
        <v>90.803339999999992</v>
      </c>
      <c r="G12" s="323">
        <v>74.689000000000007</v>
      </c>
      <c r="H12" s="323">
        <v>129.03710000000001</v>
      </c>
      <c r="I12" s="323">
        <v>73.521359999999987</v>
      </c>
      <c r="J12" s="323">
        <v>218.79849999999999</v>
      </c>
      <c r="K12" s="323">
        <v>159.19200000000001</v>
      </c>
      <c r="L12" s="323">
        <v>42.115290000000002</v>
      </c>
      <c r="M12" s="323">
        <v>93.104900000000001</v>
      </c>
      <c r="N12" s="323">
        <v>81.971610000000013</v>
      </c>
      <c r="O12" s="323">
        <v>148.99423000000002</v>
      </c>
      <c r="P12" s="323">
        <v>162.92489999999998</v>
      </c>
      <c r="Q12" s="323">
        <v>159.91830999999999</v>
      </c>
      <c r="R12" s="323">
        <v>63.729710000000004</v>
      </c>
      <c r="S12" s="323">
        <v>167.92119</v>
      </c>
      <c r="T12" s="323">
        <v>114.169</v>
      </c>
      <c r="U12" s="323">
        <v>76.481749999999991</v>
      </c>
      <c r="V12" s="323">
        <v>126.04021</v>
      </c>
      <c r="W12" s="323">
        <v>82.888499999999993</v>
      </c>
      <c r="X12" s="323">
        <v>69.26812000000001</v>
      </c>
      <c r="Y12" s="323">
        <v>149.94627</v>
      </c>
      <c r="Z12" s="323">
        <v>104.24644000000001</v>
      </c>
      <c r="AA12" s="385">
        <f t="shared" si="0"/>
        <v>2822.4590499999999</v>
      </c>
      <c r="AB12" s="385">
        <v>3032.70226</v>
      </c>
    </row>
    <row r="13" spans="1:28" s="384" customFormat="1" ht="16.899999999999999" customHeight="1" x14ac:dyDescent="0.25">
      <c r="A13" s="388" t="s">
        <v>34</v>
      </c>
      <c r="B13" s="421">
        <v>60.054000000000002</v>
      </c>
      <c r="C13" s="421">
        <v>117.09043</v>
      </c>
      <c r="D13" s="421">
        <v>186.46199999999999</v>
      </c>
      <c r="E13" s="421">
        <v>93.348550000000003</v>
      </c>
      <c r="F13" s="421">
        <v>108.97104</v>
      </c>
      <c r="G13" s="421">
        <v>66.326999999999998</v>
      </c>
      <c r="H13" s="421">
        <v>134.69910999999996</v>
      </c>
      <c r="I13" s="421">
        <v>87.400749999999988</v>
      </c>
      <c r="J13" s="421">
        <v>253.44380999999996</v>
      </c>
      <c r="K13" s="421">
        <v>165.35800000000003</v>
      </c>
      <c r="L13" s="421">
        <v>47.176400000000001</v>
      </c>
      <c r="M13" s="421">
        <v>70.311000000000007</v>
      </c>
      <c r="N13" s="421">
        <v>83.728430000000003</v>
      </c>
      <c r="O13" s="421">
        <v>160.36192</v>
      </c>
      <c r="P13" s="421">
        <v>130.12</v>
      </c>
      <c r="Q13" s="421">
        <v>206.04714000000001</v>
      </c>
      <c r="R13" s="421">
        <v>77.782900000000012</v>
      </c>
      <c r="S13" s="421">
        <v>181.67789999999997</v>
      </c>
      <c r="T13" s="421">
        <v>85.531799999999976</v>
      </c>
      <c r="U13" s="421">
        <v>78.438170000000014</v>
      </c>
      <c r="V13" s="421">
        <v>88.045039999999986</v>
      </c>
      <c r="W13" s="421">
        <v>91.459419999999994</v>
      </c>
      <c r="X13" s="421">
        <v>61.010899999999999</v>
      </c>
      <c r="Y13" s="421">
        <v>162.97399999999999</v>
      </c>
      <c r="Z13" s="421">
        <v>82.05552999999999</v>
      </c>
      <c r="AA13" s="386">
        <f t="shared" si="0"/>
        <v>2879.8752400000012</v>
      </c>
      <c r="AB13" s="386">
        <v>2908.7002700000003</v>
      </c>
    </row>
    <row r="14" spans="1:28" s="384" customFormat="1" ht="16.899999999999999" customHeight="1" x14ac:dyDescent="0.25">
      <c r="A14" s="47" t="s">
        <v>35</v>
      </c>
      <c r="B14" s="421">
        <v>62.114020000000004</v>
      </c>
      <c r="C14" s="421">
        <v>112.81953000000001</v>
      </c>
      <c r="D14" s="421">
        <v>190.62899999999999</v>
      </c>
      <c r="E14" s="421">
        <v>92.040169999999989</v>
      </c>
      <c r="F14" s="421">
        <v>84.981219999999993</v>
      </c>
      <c r="G14" s="421">
        <v>46.198999999999991</v>
      </c>
      <c r="H14" s="421">
        <v>122.15586999999999</v>
      </c>
      <c r="I14" s="421">
        <v>62.952690000000004</v>
      </c>
      <c r="J14" s="421">
        <v>223.84866</v>
      </c>
      <c r="K14" s="421">
        <v>183.30392999999995</v>
      </c>
      <c r="L14" s="421">
        <v>36.066000000000003</v>
      </c>
      <c r="M14" s="421">
        <v>86.851849999999985</v>
      </c>
      <c r="N14" s="421">
        <v>73.927949999999996</v>
      </c>
      <c r="O14" s="421">
        <v>157.53457</v>
      </c>
      <c r="P14" s="421">
        <v>161.73711000000003</v>
      </c>
      <c r="Q14" s="421">
        <v>206.34598999999997</v>
      </c>
      <c r="R14" s="421">
        <v>59.016329999999996</v>
      </c>
      <c r="S14" s="421">
        <v>143.39842000000002</v>
      </c>
      <c r="T14" s="421">
        <v>99.110420000000005</v>
      </c>
      <c r="U14" s="421">
        <v>94.595150000000018</v>
      </c>
      <c r="V14" s="421">
        <v>82.660789999999992</v>
      </c>
      <c r="W14" s="421">
        <v>71.465710000000001</v>
      </c>
      <c r="X14" s="421">
        <v>47.962479999999999</v>
      </c>
      <c r="Y14" s="421">
        <v>114.46066</v>
      </c>
      <c r="Z14" s="421">
        <v>64.641000000000005</v>
      </c>
      <c r="AA14" s="385">
        <f t="shared" si="0"/>
        <v>2680.8185200000003</v>
      </c>
      <c r="AB14" s="385">
        <v>3192.1507300000003</v>
      </c>
    </row>
    <row r="15" spans="1:28" s="384" customFormat="1" ht="16.899999999999999" customHeight="1" x14ac:dyDescent="0.25">
      <c r="A15" s="370" t="s">
        <v>36</v>
      </c>
      <c r="B15" s="323">
        <v>0</v>
      </c>
      <c r="C15" s="323">
        <v>0</v>
      </c>
      <c r="D15" s="323">
        <v>0</v>
      </c>
      <c r="E15" s="323">
        <v>0</v>
      </c>
      <c r="F15" s="323">
        <v>0</v>
      </c>
      <c r="G15" s="323">
        <v>0</v>
      </c>
      <c r="H15" s="323">
        <v>0</v>
      </c>
      <c r="I15" s="323">
        <v>0</v>
      </c>
      <c r="J15" s="323">
        <v>0</v>
      </c>
      <c r="K15" s="323">
        <v>0</v>
      </c>
      <c r="L15" s="323">
        <v>0</v>
      </c>
      <c r="M15" s="323">
        <v>0</v>
      </c>
      <c r="N15" s="323">
        <v>0</v>
      </c>
      <c r="O15" s="323">
        <v>0</v>
      </c>
      <c r="P15" s="323">
        <v>0</v>
      </c>
      <c r="Q15" s="323">
        <v>0</v>
      </c>
      <c r="R15" s="323">
        <v>0</v>
      </c>
      <c r="S15" s="323">
        <v>0</v>
      </c>
      <c r="T15" s="323">
        <v>0</v>
      </c>
      <c r="U15" s="323">
        <v>0</v>
      </c>
      <c r="V15" s="323">
        <v>0</v>
      </c>
      <c r="W15" s="323">
        <v>0</v>
      </c>
      <c r="X15" s="323">
        <v>0</v>
      </c>
      <c r="Y15" s="323">
        <v>0</v>
      </c>
      <c r="Z15" s="323">
        <v>0</v>
      </c>
      <c r="AA15" s="386">
        <f t="shared" si="0"/>
        <v>0</v>
      </c>
      <c r="AB15" s="386">
        <v>2756.5055700000003</v>
      </c>
    </row>
    <row r="16" spans="1:28" s="384" customFormat="1" ht="16.899999999999999" customHeight="1" thickBot="1" x14ac:dyDescent="0.3">
      <c r="A16" s="389" t="s">
        <v>37</v>
      </c>
      <c r="B16" s="323">
        <v>0</v>
      </c>
      <c r="C16" s="323">
        <v>0</v>
      </c>
      <c r="D16" s="323">
        <v>0</v>
      </c>
      <c r="E16" s="323">
        <v>0</v>
      </c>
      <c r="F16" s="323">
        <v>0</v>
      </c>
      <c r="G16" s="323">
        <v>0</v>
      </c>
      <c r="H16" s="323">
        <v>0</v>
      </c>
      <c r="I16" s="323">
        <v>0</v>
      </c>
      <c r="J16" s="323">
        <v>0</v>
      </c>
      <c r="K16" s="323">
        <v>0</v>
      </c>
      <c r="L16" s="323">
        <v>0</v>
      </c>
      <c r="M16" s="323">
        <v>0</v>
      </c>
      <c r="N16" s="323">
        <v>0</v>
      </c>
      <c r="O16" s="323">
        <v>0</v>
      </c>
      <c r="P16" s="323">
        <v>0</v>
      </c>
      <c r="Q16" s="323">
        <v>0</v>
      </c>
      <c r="R16" s="323">
        <v>0</v>
      </c>
      <c r="S16" s="323">
        <v>0</v>
      </c>
      <c r="T16" s="323">
        <v>0</v>
      </c>
      <c r="U16" s="323">
        <v>0</v>
      </c>
      <c r="V16" s="323">
        <v>0</v>
      </c>
      <c r="W16" s="323">
        <v>0</v>
      </c>
      <c r="X16" s="323">
        <v>0</v>
      </c>
      <c r="Y16" s="323">
        <v>0</v>
      </c>
      <c r="Z16" s="323">
        <v>0</v>
      </c>
      <c r="AA16" s="385">
        <f t="shared" si="0"/>
        <v>0</v>
      </c>
      <c r="AB16" s="385">
        <v>2444.5530700000004</v>
      </c>
    </row>
    <row r="17" spans="2:29" x14ac:dyDescent="0.25">
      <c r="B17" s="391">
        <f>SUM(B5:B16)</f>
        <v>707.38023999999996</v>
      </c>
      <c r="C17" s="392">
        <f t="shared" ref="C17:Z17" si="1">SUM(C5:C16)</f>
        <v>1100.11889</v>
      </c>
      <c r="D17" s="392">
        <f t="shared" si="1"/>
        <v>1861.8253199999999</v>
      </c>
      <c r="E17" s="392">
        <f t="shared" si="1"/>
        <v>929.17493999999999</v>
      </c>
      <c r="F17" s="392">
        <f t="shared" si="1"/>
        <v>974.10751000000005</v>
      </c>
      <c r="G17" s="392">
        <f t="shared" si="1"/>
        <v>572.21470999999997</v>
      </c>
      <c r="H17" s="392">
        <f t="shared" si="1"/>
        <v>1343.7491300000002</v>
      </c>
      <c r="I17" s="392">
        <f t="shared" si="1"/>
        <v>801.04388999999992</v>
      </c>
      <c r="J17" s="392">
        <f t="shared" si="1"/>
        <v>2448.9938999999999</v>
      </c>
      <c r="K17" s="392">
        <f t="shared" si="1"/>
        <v>1735.59611</v>
      </c>
      <c r="L17" s="392">
        <f t="shared" si="1"/>
        <v>449.67246999999998</v>
      </c>
      <c r="M17" s="392">
        <f t="shared" si="1"/>
        <v>910.67991000000018</v>
      </c>
      <c r="N17" s="392">
        <f t="shared" si="1"/>
        <v>875.66558000000009</v>
      </c>
      <c r="O17" s="392">
        <f t="shared" si="1"/>
        <v>1621.2894800000001</v>
      </c>
      <c r="P17" s="392">
        <f t="shared" si="1"/>
        <v>1640.2174100000002</v>
      </c>
      <c r="Q17" s="392">
        <f t="shared" si="1"/>
        <v>1953.2593299999996</v>
      </c>
      <c r="R17" s="392">
        <f t="shared" si="1"/>
        <v>570.2132600000001</v>
      </c>
      <c r="S17" s="392">
        <f t="shared" si="1"/>
        <v>1726.7415099999998</v>
      </c>
      <c r="T17" s="392">
        <f t="shared" si="1"/>
        <v>1013.81325</v>
      </c>
      <c r="U17" s="392">
        <f t="shared" si="1"/>
        <v>817.51519000000008</v>
      </c>
      <c r="V17" s="392">
        <f t="shared" si="1"/>
        <v>1042.5140199999998</v>
      </c>
      <c r="W17" s="392">
        <f t="shared" si="1"/>
        <v>730.42784000000006</v>
      </c>
      <c r="X17" s="392">
        <f t="shared" si="1"/>
        <v>688.8694200000001</v>
      </c>
      <c r="Y17" s="392">
        <f t="shared" si="1"/>
        <v>1542.2671599999999</v>
      </c>
      <c r="Z17" s="393">
        <f t="shared" si="1"/>
        <v>799.48731999999995</v>
      </c>
      <c r="AA17" s="394">
        <f>SUM(AA5:AA16)</f>
        <v>28856.837790000005</v>
      </c>
      <c r="AB17" s="394">
        <v>29981.669160000005</v>
      </c>
      <c r="AC17" s="395"/>
    </row>
    <row r="18" spans="2:29" x14ac:dyDescent="0.25">
      <c r="B18" s="396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412" t="s">
        <v>130</v>
      </c>
      <c r="Z18" s="412"/>
      <c r="AA18" s="398">
        <v>1.35</v>
      </c>
      <c r="AB18" s="3">
        <v>3.67</v>
      </c>
      <c r="AC18" s="399"/>
    </row>
    <row r="19" spans="2:29" x14ac:dyDescent="0.25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412" t="s">
        <v>133</v>
      </c>
      <c r="Z19" s="412"/>
      <c r="AA19" s="398"/>
      <c r="AB19" s="395">
        <v>23.085000000000001</v>
      </c>
    </row>
    <row r="20" spans="2:29" x14ac:dyDescent="0.25"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412" t="s">
        <v>149</v>
      </c>
      <c r="Z20" s="412"/>
      <c r="AA20" s="398">
        <f>[1]resum!$Q$29</f>
        <v>373.64</v>
      </c>
      <c r="AB20" s="3">
        <v>464.36</v>
      </c>
    </row>
    <row r="21" spans="2:29" x14ac:dyDescent="0.25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3"/>
      <c r="AA21" s="371">
        <f>SUM(AA17:AA20)</f>
        <v>29231.827790000003</v>
      </c>
      <c r="AB21" s="401">
        <f>SUM(AB17:AB20)</f>
        <v>30472.784160000003</v>
      </c>
    </row>
    <row r="22" spans="2:29" x14ac:dyDescent="0.25">
      <c r="Z22" s="3"/>
      <c r="AA22" s="402"/>
    </row>
    <row r="23" spans="2:29" x14ac:dyDescent="0.25">
      <c r="Z23" s="401"/>
      <c r="AA23" s="399"/>
    </row>
    <row r="24" spans="2:29" x14ac:dyDescent="0.25">
      <c r="Z24" s="395"/>
      <c r="AA24" s="399"/>
    </row>
    <row r="25" spans="2:29" x14ac:dyDescent="0.2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395"/>
    </row>
    <row r="26" spans="2:29" x14ac:dyDescent="0.25">
      <c r="Z26" s="395"/>
      <c r="AA26" s="399"/>
    </row>
    <row r="27" spans="2:29" x14ac:dyDescent="0.25">
      <c r="Z27" s="395"/>
    </row>
    <row r="28" spans="2:29" x14ac:dyDescent="0.25">
      <c r="B28" s="89"/>
      <c r="Z28" s="3"/>
    </row>
    <row r="29" spans="2:29" x14ac:dyDescent="0.25">
      <c r="Z29" s="3"/>
    </row>
    <row r="30" spans="2:29" x14ac:dyDescent="0.25">
      <c r="Z30" s="3"/>
    </row>
    <row r="31" spans="2:29" x14ac:dyDescent="0.25">
      <c r="Z31" s="3"/>
    </row>
    <row r="32" spans="2:29" x14ac:dyDescent="0.25">
      <c r="Z32" s="3"/>
    </row>
    <row r="33" spans="1:28" x14ac:dyDescent="0.25">
      <c r="Z33" s="3"/>
    </row>
    <row r="34" spans="1:28" x14ac:dyDescent="0.25">
      <c r="Z34" s="3"/>
    </row>
    <row r="35" spans="1:28" x14ac:dyDescent="0.25">
      <c r="Z35" s="3"/>
    </row>
    <row r="36" spans="1:28" x14ac:dyDescent="0.25">
      <c r="Z36" s="3"/>
    </row>
    <row r="37" spans="1:28" x14ac:dyDescent="0.25">
      <c r="Z37" s="3"/>
    </row>
    <row r="38" spans="1:28" x14ac:dyDescent="0.25">
      <c r="Z38" s="3"/>
    </row>
    <row r="39" spans="1:28" x14ac:dyDescent="0.25">
      <c r="Z39" s="3"/>
    </row>
    <row r="40" spans="1:28" x14ac:dyDescent="0.25">
      <c r="Z40" s="3"/>
    </row>
    <row r="41" spans="1:28" x14ac:dyDescent="0.25">
      <c r="Z41" s="3"/>
    </row>
    <row r="42" spans="1:28" x14ac:dyDescent="0.25">
      <c r="Z42" s="3"/>
    </row>
    <row r="43" spans="1:28" x14ac:dyDescent="0.25">
      <c r="Z43" s="3"/>
    </row>
    <row r="44" spans="1:28" ht="15.75" thickBot="1" x14ac:dyDescent="0.3">
      <c r="A44" s="374" t="s">
        <v>131</v>
      </c>
      <c r="Z44" s="3"/>
    </row>
    <row r="45" spans="1:28" ht="93" thickBot="1" x14ac:dyDescent="0.3">
      <c r="A45" s="375" t="s">
        <v>128</v>
      </c>
      <c r="B45" s="376" t="s">
        <v>94</v>
      </c>
      <c r="C45" s="377" t="s">
        <v>93</v>
      </c>
      <c r="D45" s="378" t="s">
        <v>92</v>
      </c>
      <c r="E45" s="377" t="s">
        <v>91</v>
      </c>
      <c r="F45" s="377" t="s">
        <v>90</v>
      </c>
      <c r="G45" s="377" t="s">
        <v>89</v>
      </c>
      <c r="H45" s="377" t="s">
        <v>88</v>
      </c>
      <c r="I45" s="377" t="s">
        <v>87</v>
      </c>
      <c r="J45" s="377" t="s">
        <v>86</v>
      </c>
      <c r="K45" s="377" t="s">
        <v>85</v>
      </c>
      <c r="L45" s="377" t="s">
        <v>84</v>
      </c>
      <c r="M45" s="377" t="s">
        <v>83</v>
      </c>
      <c r="N45" s="377" t="s">
        <v>82</v>
      </c>
      <c r="O45" s="378" t="s">
        <v>81</v>
      </c>
      <c r="P45" s="377" t="s">
        <v>80</v>
      </c>
      <c r="Q45" s="378" t="s">
        <v>79</v>
      </c>
      <c r="R45" s="377" t="s">
        <v>78</v>
      </c>
      <c r="S45" s="377" t="s">
        <v>77</v>
      </c>
      <c r="T45" s="377" t="s">
        <v>76</v>
      </c>
      <c r="U45" s="378" t="s">
        <v>75</v>
      </c>
      <c r="V45" s="378" t="s">
        <v>74</v>
      </c>
      <c r="W45" s="377" t="s">
        <v>73</v>
      </c>
      <c r="X45" s="377" t="s">
        <v>72</v>
      </c>
      <c r="Y45" s="379" t="s">
        <v>71</v>
      </c>
      <c r="Z45" s="380" t="s">
        <v>70</v>
      </c>
      <c r="AA45" s="381" t="s">
        <v>38</v>
      </c>
      <c r="AB45" s="381" t="s">
        <v>148</v>
      </c>
    </row>
    <row r="46" spans="1:28" x14ac:dyDescent="0.25">
      <c r="A46" s="382" t="s">
        <v>26</v>
      </c>
      <c r="B46" s="403">
        <v>960</v>
      </c>
      <c r="C46" s="403">
        <v>1226</v>
      </c>
      <c r="D46" s="403">
        <v>1122</v>
      </c>
      <c r="E46" s="403">
        <v>1089</v>
      </c>
      <c r="F46" s="403">
        <v>1222</v>
      </c>
      <c r="G46" s="403">
        <v>279</v>
      </c>
      <c r="H46" s="403">
        <v>555</v>
      </c>
      <c r="I46" s="403">
        <v>1629</v>
      </c>
      <c r="J46" s="403">
        <v>2300</v>
      </c>
      <c r="K46" s="403">
        <v>1088</v>
      </c>
      <c r="L46" s="403">
        <v>332</v>
      </c>
      <c r="M46" s="403">
        <v>859</v>
      </c>
      <c r="N46" s="403">
        <v>988</v>
      </c>
      <c r="O46" s="403">
        <v>1243</v>
      </c>
      <c r="P46" s="403">
        <v>1245</v>
      </c>
      <c r="Q46" s="403">
        <v>1753</v>
      </c>
      <c r="R46" s="403">
        <v>592</v>
      </c>
      <c r="S46" s="403">
        <v>479</v>
      </c>
      <c r="T46" s="403">
        <v>933</v>
      </c>
      <c r="U46" s="403">
        <v>913</v>
      </c>
      <c r="V46" s="403">
        <v>1208</v>
      </c>
      <c r="W46" s="403">
        <v>486</v>
      </c>
      <c r="X46" s="403">
        <v>430</v>
      </c>
      <c r="Y46" s="403">
        <v>1148</v>
      </c>
      <c r="Z46" s="403">
        <v>1296</v>
      </c>
      <c r="AA46" s="404">
        <f t="shared" ref="AA46:AA57" si="2">SUM(B46:Z46)</f>
        <v>25375</v>
      </c>
      <c r="AB46" s="404">
        <v>21905</v>
      </c>
    </row>
    <row r="47" spans="1:28" x14ac:dyDescent="0.25">
      <c r="A47" s="47" t="s">
        <v>27</v>
      </c>
      <c r="B47" s="403">
        <v>741</v>
      </c>
      <c r="C47" s="403">
        <v>1078</v>
      </c>
      <c r="D47" s="403">
        <v>1254</v>
      </c>
      <c r="E47" s="403">
        <v>1164</v>
      </c>
      <c r="F47" s="403">
        <v>1131</v>
      </c>
      <c r="G47" s="403">
        <v>335</v>
      </c>
      <c r="H47" s="403">
        <v>529</v>
      </c>
      <c r="I47" s="403">
        <v>1340</v>
      </c>
      <c r="J47" s="403">
        <v>2287</v>
      </c>
      <c r="K47" s="403">
        <v>1024</v>
      </c>
      <c r="L47" s="403">
        <v>351</v>
      </c>
      <c r="M47" s="403">
        <v>842</v>
      </c>
      <c r="N47" s="403">
        <v>1009</v>
      </c>
      <c r="O47" s="403">
        <v>1221</v>
      </c>
      <c r="P47" s="403">
        <v>1317</v>
      </c>
      <c r="Q47" s="403">
        <v>1753</v>
      </c>
      <c r="R47" s="403">
        <v>520</v>
      </c>
      <c r="S47" s="403">
        <v>555</v>
      </c>
      <c r="T47" s="403">
        <v>928</v>
      </c>
      <c r="U47" s="403">
        <v>940</v>
      </c>
      <c r="V47" s="403">
        <v>1196</v>
      </c>
      <c r="W47" s="403">
        <v>632</v>
      </c>
      <c r="X47" s="403">
        <v>503</v>
      </c>
      <c r="Y47" s="403">
        <v>1107</v>
      </c>
      <c r="Z47" s="403">
        <v>1240</v>
      </c>
      <c r="AA47" s="405">
        <f t="shared" si="2"/>
        <v>24997</v>
      </c>
      <c r="AB47" s="405">
        <v>22626</v>
      </c>
    </row>
    <row r="48" spans="1:28" x14ac:dyDescent="0.25">
      <c r="A48" s="370" t="s">
        <v>28</v>
      </c>
      <c r="B48" s="403">
        <v>868</v>
      </c>
      <c r="C48" s="403">
        <v>1286</v>
      </c>
      <c r="D48" s="403">
        <v>1389</v>
      </c>
      <c r="E48" s="403">
        <v>1252</v>
      </c>
      <c r="F48" s="403">
        <v>1420</v>
      </c>
      <c r="G48" s="403">
        <v>457</v>
      </c>
      <c r="H48" s="403">
        <v>505</v>
      </c>
      <c r="I48" s="403">
        <v>1472</v>
      </c>
      <c r="J48" s="403">
        <v>2689</v>
      </c>
      <c r="K48" s="403">
        <v>928</v>
      </c>
      <c r="L48" s="403">
        <v>477</v>
      </c>
      <c r="M48" s="403">
        <v>1034</v>
      </c>
      <c r="N48" s="403">
        <v>1083</v>
      </c>
      <c r="O48" s="403">
        <v>1416</v>
      </c>
      <c r="P48" s="403">
        <v>1577</v>
      </c>
      <c r="Q48" s="403">
        <v>1967</v>
      </c>
      <c r="R48" s="403">
        <v>589</v>
      </c>
      <c r="S48" s="403">
        <v>683</v>
      </c>
      <c r="T48" s="403">
        <v>1025</v>
      </c>
      <c r="U48" s="403">
        <v>940</v>
      </c>
      <c r="V48" s="403">
        <v>1485</v>
      </c>
      <c r="W48" s="403">
        <v>762</v>
      </c>
      <c r="X48" s="403">
        <v>505</v>
      </c>
      <c r="Y48" s="403">
        <v>1357</v>
      </c>
      <c r="Z48" s="403">
        <v>1348</v>
      </c>
      <c r="AA48" s="406">
        <f t="shared" si="2"/>
        <v>28514</v>
      </c>
      <c r="AB48" s="406">
        <v>10101</v>
      </c>
    </row>
    <row r="49" spans="1:28" x14ac:dyDescent="0.25">
      <c r="A49" s="47" t="s">
        <v>29</v>
      </c>
      <c r="B49" s="403">
        <v>1011</v>
      </c>
      <c r="C49" s="403">
        <v>1180</v>
      </c>
      <c r="D49" s="403">
        <v>1265</v>
      </c>
      <c r="E49" s="403">
        <v>1243</v>
      </c>
      <c r="F49" s="403">
        <v>1398</v>
      </c>
      <c r="G49" s="403">
        <v>419</v>
      </c>
      <c r="H49" s="403">
        <v>493</v>
      </c>
      <c r="I49" s="403">
        <v>1402</v>
      </c>
      <c r="J49" s="403">
        <v>2439</v>
      </c>
      <c r="K49" s="403">
        <v>858</v>
      </c>
      <c r="L49" s="403">
        <v>448</v>
      </c>
      <c r="M49" s="403">
        <v>854</v>
      </c>
      <c r="N49" s="403">
        <v>1028</v>
      </c>
      <c r="O49" s="403">
        <v>1339</v>
      </c>
      <c r="P49" s="403">
        <v>1527</v>
      </c>
      <c r="Q49" s="403">
        <v>1944</v>
      </c>
      <c r="R49" s="403">
        <v>628</v>
      </c>
      <c r="S49" s="403">
        <v>791</v>
      </c>
      <c r="T49" s="403">
        <v>1021</v>
      </c>
      <c r="U49" s="403">
        <v>990</v>
      </c>
      <c r="V49" s="403">
        <v>1393</v>
      </c>
      <c r="W49" s="403">
        <v>688</v>
      </c>
      <c r="X49" s="403">
        <v>523</v>
      </c>
      <c r="Y49" s="403">
        <v>1391</v>
      </c>
      <c r="Z49" s="403">
        <v>1425</v>
      </c>
      <c r="AA49" s="405">
        <f t="shared" si="2"/>
        <v>27698</v>
      </c>
      <c r="AB49" s="405">
        <v>97</v>
      </c>
    </row>
    <row r="50" spans="1:28" x14ac:dyDescent="0.25">
      <c r="A50" s="370" t="s">
        <v>30</v>
      </c>
      <c r="B50" s="403">
        <v>1037</v>
      </c>
      <c r="C50" s="403">
        <v>1380</v>
      </c>
      <c r="D50" s="403">
        <v>1358</v>
      </c>
      <c r="E50" s="403">
        <v>1221</v>
      </c>
      <c r="F50" s="403">
        <v>1373</v>
      </c>
      <c r="G50" s="403">
        <v>508</v>
      </c>
      <c r="H50" s="403">
        <v>486</v>
      </c>
      <c r="I50" s="403">
        <v>1532</v>
      </c>
      <c r="J50" s="403">
        <v>2634</v>
      </c>
      <c r="K50" s="403">
        <v>879</v>
      </c>
      <c r="L50" s="403">
        <v>441</v>
      </c>
      <c r="M50" s="403">
        <v>799</v>
      </c>
      <c r="N50" s="403">
        <v>1143</v>
      </c>
      <c r="O50" s="403">
        <v>1561</v>
      </c>
      <c r="P50" s="403">
        <v>1479</v>
      </c>
      <c r="Q50" s="403">
        <v>2142</v>
      </c>
      <c r="R50" s="403">
        <v>612</v>
      </c>
      <c r="S50" s="403">
        <v>1028</v>
      </c>
      <c r="T50" s="403">
        <v>1031</v>
      </c>
      <c r="U50" s="403">
        <v>1063</v>
      </c>
      <c r="V50" s="403">
        <v>1563</v>
      </c>
      <c r="W50" s="403">
        <v>767</v>
      </c>
      <c r="X50" s="403">
        <v>500</v>
      </c>
      <c r="Y50" s="403">
        <v>1757</v>
      </c>
      <c r="Z50" s="403">
        <v>1446</v>
      </c>
      <c r="AA50" s="406">
        <f t="shared" si="2"/>
        <v>29740</v>
      </c>
      <c r="AB50" s="406">
        <v>20287</v>
      </c>
    </row>
    <row r="51" spans="1:28" x14ac:dyDescent="0.25">
      <c r="A51" s="47" t="s">
        <v>31</v>
      </c>
      <c r="B51" s="403">
        <v>965</v>
      </c>
      <c r="C51" s="403">
        <v>1136</v>
      </c>
      <c r="D51" s="403">
        <v>1306</v>
      </c>
      <c r="E51" s="403">
        <v>1279</v>
      </c>
      <c r="F51" s="403">
        <v>1342</v>
      </c>
      <c r="G51" s="403">
        <v>481</v>
      </c>
      <c r="H51" s="403">
        <v>444</v>
      </c>
      <c r="I51" s="403">
        <v>1381</v>
      </c>
      <c r="J51" s="403">
        <v>2516</v>
      </c>
      <c r="K51" s="403">
        <v>950</v>
      </c>
      <c r="L51" s="403">
        <v>345</v>
      </c>
      <c r="M51" s="403">
        <v>800</v>
      </c>
      <c r="N51" s="403">
        <v>1104</v>
      </c>
      <c r="O51" s="403">
        <v>1507</v>
      </c>
      <c r="P51" s="403">
        <v>1611</v>
      </c>
      <c r="Q51" s="403">
        <v>1891</v>
      </c>
      <c r="R51" s="403">
        <v>535</v>
      </c>
      <c r="S51" s="403">
        <v>904</v>
      </c>
      <c r="T51" s="403">
        <v>910</v>
      </c>
      <c r="U51" s="403">
        <v>1014</v>
      </c>
      <c r="V51" s="403">
        <v>1655</v>
      </c>
      <c r="W51" s="403">
        <v>770</v>
      </c>
      <c r="X51" s="403">
        <v>534</v>
      </c>
      <c r="Y51" s="403">
        <v>1787</v>
      </c>
      <c r="Z51" s="403">
        <v>1412</v>
      </c>
      <c r="AA51" s="405">
        <f t="shared" si="2"/>
        <v>28579</v>
      </c>
      <c r="AB51" s="405">
        <v>30515</v>
      </c>
    </row>
    <row r="52" spans="1:28" x14ac:dyDescent="0.25">
      <c r="A52" s="387" t="s">
        <v>32</v>
      </c>
      <c r="B52" s="403">
        <v>1033</v>
      </c>
      <c r="C52" s="403">
        <v>1301</v>
      </c>
      <c r="D52" s="403">
        <v>1377</v>
      </c>
      <c r="E52" s="403">
        <v>1212</v>
      </c>
      <c r="F52" s="403">
        <v>1288</v>
      </c>
      <c r="G52" s="403">
        <v>541</v>
      </c>
      <c r="H52" s="403">
        <v>1024</v>
      </c>
      <c r="I52" s="403">
        <v>1531</v>
      </c>
      <c r="J52" s="403">
        <v>1676</v>
      </c>
      <c r="K52" s="403">
        <v>754</v>
      </c>
      <c r="L52" s="403">
        <v>345</v>
      </c>
      <c r="M52" s="403">
        <v>848</v>
      </c>
      <c r="N52" s="403">
        <v>1054</v>
      </c>
      <c r="O52" s="403">
        <v>1472</v>
      </c>
      <c r="P52" s="403">
        <v>1551</v>
      </c>
      <c r="Q52" s="403">
        <v>1797</v>
      </c>
      <c r="R52" s="403">
        <v>531</v>
      </c>
      <c r="S52" s="403">
        <v>938</v>
      </c>
      <c r="T52" s="403">
        <v>918</v>
      </c>
      <c r="U52" s="403">
        <v>997</v>
      </c>
      <c r="V52" s="403">
        <v>1594</v>
      </c>
      <c r="W52" s="403">
        <v>863</v>
      </c>
      <c r="X52" s="403">
        <v>546</v>
      </c>
      <c r="Y52" s="403">
        <v>1792</v>
      </c>
      <c r="Z52" s="403">
        <v>1519</v>
      </c>
      <c r="AA52" s="406">
        <f t="shared" si="2"/>
        <v>28502</v>
      </c>
      <c r="AB52" s="406">
        <v>28579</v>
      </c>
    </row>
    <row r="53" spans="1:28" x14ac:dyDescent="0.25">
      <c r="A53" s="47" t="s">
        <v>33</v>
      </c>
      <c r="B53" s="403">
        <v>998</v>
      </c>
      <c r="C53" s="403">
        <v>1671</v>
      </c>
      <c r="D53" s="403">
        <v>1227</v>
      </c>
      <c r="E53" s="403">
        <v>1153</v>
      </c>
      <c r="F53" s="403">
        <v>1395</v>
      </c>
      <c r="G53" s="403">
        <v>585</v>
      </c>
      <c r="H53" s="403">
        <v>426</v>
      </c>
      <c r="I53" s="403">
        <v>1581</v>
      </c>
      <c r="J53" s="403">
        <v>2309</v>
      </c>
      <c r="K53" s="403">
        <v>861</v>
      </c>
      <c r="L53" s="403">
        <v>273</v>
      </c>
      <c r="M53" s="403">
        <v>880</v>
      </c>
      <c r="N53" s="403">
        <v>1064</v>
      </c>
      <c r="O53" s="403">
        <v>1467</v>
      </c>
      <c r="P53" s="403">
        <v>1601</v>
      </c>
      <c r="Q53" s="403">
        <v>1514</v>
      </c>
      <c r="R53" s="403">
        <v>482</v>
      </c>
      <c r="S53" s="403">
        <v>838</v>
      </c>
      <c r="T53" s="403">
        <v>925</v>
      </c>
      <c r="U53" s="403">
        <v>995</v>
      </c>
      <c r="V53" s="403">
        <v>1766</v>
      </c>
      <c r="W53" s="403">
        <v>910</v>
      </c>
      <c r="X53" s="403">
        <v>615</v>
      </c>
      <c r="Y53" s="403">
        <v>1724</v>
      </c>
      <c r="Z53" s="403">
        <v>1610</v>
      </c>
      <c r="AA53" s="405">
        <f t="shared" si="2"/>
        <v>28870</v>
      </c>
      <c r="AB53" s="405">
        <v>29348</v>
      </c>
    </row>
    <row r="54" spans="1:28" x14ac:dyDescent="0.25">
      <c r="A54" s="388" t="s">
        <v>34</v>
      </c>
      <c r="B54" s="403">
        <v>883</v>
      </c>
      <c r="C54" s="403">
        <v>1389</v>
      </c>
      <c r="D54" s="403">
        <v>1232</v>
      </c>
      <c r="E54" s="403">
        <v>1238</v>
      </c>
      <c r="F54" s="403">
        <v>1471</v>
      </c>
      <c r="G54" s="403">
        <v>431</v>
      </c>
      <c r="H54" s="403">
        <v>392</v>
      </c>
      <c r="I54" s="403">
        <v>1486</v>
      </c>
      <c r="J54" s="403">
        <v>2610</v>
      </c>
      <c r="K54" s="403">
        <v>827</v>
      </c>
      <c r="L54" s="403">
        <v>333</v>
      </c>
      <c r="M54" s="403">
        <v>773</v>
      </c>
      <c r="N54" s="403">
        <v>996</v>
      </c>
      <c r="O54" s="403">
        <v>1270</v>
      </c>
      <c r="P54" s="403">
        <v>1410</v>
      </c>
      <c r="Q54" s="403">
        <v>1877</v>
      </c>
      <c r="R54" s="403">
        <v>560</v>
      </c>
      <c r="S54" s="403">
        <v>902</v>
      </c>
      <c r="T54" s="403">
        <v>867</v>
      </c>
      <c r="U54" s="403">
        <v>885</v>
      </c>
      <c r="V54" s="403">
        <v>1320</v>
      </c>
      <c r="W54" s="403">
        <v>782</v>
      </c>
      <c r="X54" s="403">
        <v>418</v>
      </c>
      <c r="Y54" s="403">
        <v>1559</v>
      </c>
      <c r="Z54" s="403">
        <v>1381</v>
      </c>
      <c r="AA54" s="406">
        <f t="shared" si="2"/>
        <v>27292</v>
      </c>
      <c r="AB54" s="406">
        <v>27441</v>
      </c>
    </row>
    <row r="55" spans="1:28" x14ac:dyDescent="0.25">
      <c r="A55" s="47" t="s">
        <v>35</v>
      </c>
      <c r="B55" s="403">
        <v>910</v>
      </c>
      <c r="C55" s="403">
        <v>1441</v>
      </c>
      <c r="D55" s="403">
        <v>1177</v>
      </c>
      <c r="E55" s="403">
        <v>1163</v>
      </c>
      <c r="F55" s="403">
        <v>1363</v>
      </c>
      <c r="G55" s="403">
        <v>389</v>
      </c>
      <c r="H55" s="403">
        <v>425</v>
      </c>
      <c r="I55" s="403">
        <v>1419</v>
      </c>
      <c r="J55" s="403">
        <v>2498</v>
      </c>
      <c r="K55" s="403">
        <v>877</v>
      </c>
      <c r="L55" s="403">
        <v>363</v>
      </c>
      <c r="M55" s="403">
        <v>753</v>
      </c>
      <c r="N55" s="403">
        <v>1048</v>
      </c>
      <c r="O55" s="403">
        <v>1991</v>
      </c>
      <c r="P55" s="403">
        <v>1507</v>
      </c>
      <c r="Q55" s="403">
        <v>1789</v>
      </c>
      <c r="R55" s="403">
        <v>600</v>
      </c>
      <c r="S55" s="403">
        <v>912</v>
      </c>
      <c r="T55" s="403">
        <v>914</v>
      </c>
      <c r="U55" s="403">
        <v>925</v>
      </c>
      <c r="V55" s="403">
        <v>1406</v>
      </c>
      <c r="W55" s="403">
        <v>740</v>
      </c>
      <c r="X55" s="403">
        <v>436</v>
      </c>
      <c r="Y55" s="403">
        <v>1500</v>
      </c>
      <c r="Z55" s="403">
        <v>1295</v>
      </c>
      <c r="AA55" s="405">
        <f t="shared" si="2"/>
        <v>27841</v>
      </c>
      <c r="AB55" s="405">
        <v>29205</v>
      </c>
    </row>
    <row r="56" spans="1:28" x14ac:dyDescent="0.25">
      <c r="A56" s="370" t="s">
        <v>36</v>
      </c>
      <c r="B56" s="403">
        <v>0</v>
      </c>
      <c r="C56" s="403">
        <v>0</v>
      </c>
      <c r="D56" s="403">
        <v>0</v>
      </c>
      <c r="E56" s="403">
        <v>0</v>
      </c>
      <c r="F56" s="403">
        <v>0</v>
      </c>
      <c r="G56" s="403">
        <v>0</v>
      </c>
      <c r="H56" s="403">
        <v>0</v>
      </c>
      <c r="I56" s="403">
        <v>0</v>
      </c>
      <c r="J56" s="403">
        <v>0</v>
      </c>
      <c r="K56" s="403">
        <v>0</v>
      </c>
      <c r="L56" s="403">
        <v>0</v>
      </c>
      <c r="M56" s="403">
        <v>0</v>
      </c>
      <c r="N56" s="403">
        <v>0</v>
      </c>
      <c r="O56" s="403">
        <v>0</v>
      </c>
      <c r="P56" s="403">
        <v>0</v>
      </c>
      <c r="Q56" s="403">
        <v>0</v>
      </c>
      <c r="R56" s="403">
        <v>0</v>
      </c>
      <c r="S56" s="403">
        <v>0</v>
      </c>
      <c r="T56" s="403">
        <v>0</v>
      </c>
      <c r="U56" s="403">
        <v>0</v>
      </c>
      <c r="V56" s="403">
        <v>0</v>
      </c>
      <c r="W56" s="403">
        <v>0</v>
      </c>
      <c r="X56" s="403">
        <v>0</v>
      </c>
      <c r="Y56" s="403">
        <v>0</v>
      </c>
      <c r="Z56" s="403">
        <v>0</v>
      </c>
      <c r="AA56" s="406">
        <f t="shared" si="2"/>
        <v>0</v>
      </c>
      <c r="AB56" s="406">
        <v>27396</v>
      </c>
    </row>
    <row r="57" spans="1:28" ht="15.75" thickBot="1" x14ac:dyDescent="0.3">
      <c r="A57" s="389" t="s">
        <v>37</v>
      </c>
      <c r="B57" s="403">
        <v>0</v>
      </c>
      <c r="C57" s="403">
        <v>0</v>
      </c>
      <c r="D57" s="403">
        <v>0</v>
      </c>
      <c r="E57" s="403">
        <v>0</v>
      </c>
      <c r="F57" s="403">
        <v>0</v>
      </c>
      <c r="G57" s="403">
        <v>0</v>
      </c>
      <c r="H57" s="403">
        <v>0</v>
      </c>
      <c r="I57" s="403">
        <v>0</v>
      </c>
      <c r="J57" s="403">
        <v>0</v>
      </c>
      <c r="K57" s="403">
        <v>0</v>
      </c>
      <c r="L57" s="403">
        <v>0</v>
      </c>
      <c r="M57" s="403">
        <v>0</v>
      </c>
      <c r="N57" s="403">
        <v>0</v>
      </c>
      <c r="O57" s="403">
        <v>0</v>
      </c>
      <c r="P57" s="403">
        <v>0</v>
      </c>
      <c r="Q57" s="403">
        <v>0</v>
      </c>
      <c r="R57" s="403">
        <v>0</v>
      </c>
      <c r="S57" s="403">
        <v>0</v>
      </c>
      <c r="T57" s="403">
        <v>0</v>
      </c>
      <c r="U57" s="403">
        <v>0</v>
      </c>
      <c r="V57" s="403">
        <v>0</v>
      </c>
      <c r="W57" s="403">
        <v>0</v>
      </c>
      <c r="X57" s="403">
        <v>0</v>
      </c>
      <c r="Y57" s="403">
        <v>0</v>
      </c>
      <c r="Z57" s="403">
        <v>0</v>
      </c>
      <c r="AA57" s="405">
        <f t="shared" si="2"/>
        <v>0</v>
      </c>
      <c r="AB57" s="405">
        <v>26216</v>
      </c>
    </row>
    <row r="58" spans="1:28" x14ac:dyDescent="0.25">
      <c r="B58" s="407">
        <f>SUM(B46:B57)</f>
        <v>9406</v>
      </c>
      <c r="C58" s="408">
        <f t="shared" ref="C58:Z58" si="3">SUM(C46:C57)</f>
        <v>13088</v>
      </c>
      <c r="D58" s="408">
        <f t="shared" si="3"/>
        <v>12707</v>
      </c>
      <c r="E58" s="408">
        <f t="shared" si="3"/>
        <v>12014</v>
      </c>
      <c r="F58" s="408">
        <f t="shared" si="3"/>
        <v>13403</v>
      </c>
      <c r="G58" s="408">
        <f t="shared" si="3"/>
        <v>4425</v>
      </c>
      <c r="H58" s="408">
        <f t="shared" si="3"/>
        <v>5279</v>
      </c>
      <c r="I58" s="408">
        <f t="shared" si="3"/>
        <v>14773</v>
      </c>
      <c r="J58" s="408">
        <f t="shared" si="3"/>
        <v>23958</v>
      </c>
      <c r="K58" s="408">
        <f t="shared" si="3"/>
        <v>9046</v>
      </c>
      <c r="L58" s="408">
        <f t="shared" si="3"/>
        <v>3708</v>
      </c>
      <c r="M58" s="408">
        <f t="shared" si="3"/>
        <v>8442</v>
      </c>
      <c r="N58" s="408">
        <f t="shared" si="3"/>
        <v>10517</v>
      </c>
      <c r="O58" s="408">
        <f t="shared" si="3"/>
        <v>14487</v>
      </c>
      <c r="P58" s="408">
        <f t="shared" si="3"/>
        <v>14825</v>
      </c>
      <c r="Q58" s="408">
        <f t="shared" si="3"/>
        <v>18427</v>
      </c>
      <c r="R58" s="408">
        <f t="shared" si="3"/>
        <v>5649</v>
      </c>
      <c r="S58" s="408">
        <f t="shared" si="3"/>
        <v>8030</v>
      </c>
      <c r="T58" s="408">
        <f t="shared" si="3"/>
        <v>9472</v>
      </c>
      <c r="U58" s="408">
        <f t="shared" si="3"/>
        <v>9662</v>
      </c>
      <c r="V58" s="408">
        <f t="shared" si="3"/>
        <v>14586</v>
      </c>
      <c r="W58" s="408">
        <f t="shared" si="3"/>
        <v>7400</v>
      </c>
      <c r="X58" s="408">
        <f t="shared" si="3"/>
        <v>5010</v>
      </c>
      <c r="Y58" s="408">
        <f t="shared" si="3"/>
        <v>15122</v>
      </c>
      <c r="Z58" s="409">
        <f t="shared" si="3"/>
        <v>13972</v>
      </c>
      <c r="AA58" s="410">
        <f>SUM(AA46:AA57)</f>
        <v>277408</v>
      </c>
      <c r="AB58" s="410">
        <f>SUM(AB46:AB57)</f>
        <v>273716</v>
      </c>
    </row>
    <row r="62" spans="1:28" ht="15.75" thickBot="1" x14ac:dyDescent="0.3">
      <c r="A62" s="374" t="s">
        <v>145</v>
      </c>
    </row>
    <row r="63" spans="1:28" ht="123.75" thickBot="1" x14ac:dyDescent="0.3">
      <c r="A63" s="375" t="s">
        <v>128</v>
      </c>
      <c r="B63" s="411" t="s">
        <v>92</v>
      </c>
      <c r="C63" s="411" t="s">
        <v>87</v>
      </c>
      <c r="D63" s="411" t="s">
        <v>78</v>
      </c>
      <c r="E63" s="411" t="s">
        <v>77</v>
      </c>
      <c r="F63" s="411" t="s">
        <v>121</v>
      </c>
      <c r="G63" s="411" t="s">
        <v>122</v>
      </c>
      <c r="H63" s="411" t="s">
        <v>123</v>
      </c>
      <c r="I63" s="381" t="s">
        <v>38</v>
      </c>
    </row>
    <row r="64" spans="1:28" x14ac:dyDescent="0.25">
      <c r="A64" s="382" t="s">
        <v>26</v>
      </c>
      <c r="B64" s="403">
        <v>69</v>
      </c>
      <c r="C64" s="403">
        <v>98</v>
      </c>
      <c r="D64" s="403">
        <v>0</v>
      </c>
      <c r="E64" s="403">
        <v>409</v>
      </c>
      <c r="F64" s="403">
        <v>3</v>
      </c>
      <c r="G64" s="403">
        <v>31</v>
      </c>
      <c r="H64" s="403">
        <v>10</v>
      </c>
      <c r="I64" s="404">
        <f>SUM(B64:H64)</f>
        <v>620</v>
      </c>
    </row>
    <row r="65" spans="1:26" x14ac:dyDescent="0.25">
      <c r="A65" s="47" t="s">
        <v>27</v>
      </c>
      <c r="B65" s="403">
        <v>99</v>
      </c>
      <c r="C65" s="403">
        <v>91</v>
      </c>
      <c r="D65" s="403">
        <v>0</v>
      </c>
      <c r="E65" s="403">
        <v>418</v>
      </c>
      <c r="F65" s="403">
        <v>0</v>
      </c>
      <c r="G65" s="403">
        <v>56</v>
      </c>
      <c r="H65" s="403">
        <v>16</v>
      </c>
      <c r="I65" s="405">
        <f t="shared" ref="I65:I75" si="4">SUM(B65:H65)</f>
        <v>680</v>
      </c>
    </row>
    <row r="66" spans="1:26" x14ac:dyDescent="0.25">
      <c r="A66" s="370" t="s">
        <v>28</v>
      </c>
      <c r="B66" s="403">
        <v>101</v>
      </c>
      <c r="C66" s="403">
        <v>128</v>
      </c>
      <c r="D66" s="403">
        <v>0</v>
      </c>
      <c r="E66" s="403">
        <v>396</v>
      </c>
      <c r="F66" s="403">
        <v>14</v>
      </c>
      <c r="G66" s="403">
        <v>47</v>
      </c>
      <c r="H66" s="403">
        <v>23</v>
      </c>
      <c r="I66" s="406">
        <f t="shared" si="4"/>
        <v>709</v>
      </c>
    </row>
    <row r="67" spans="1:26" x14ac:dyDescent="0.25">
      <c r="A67" s="47" t="s">
        <v>29</v>
      </c>
      <c r="B67" s="403">
        <v>86</v>
      </c>
      <c r="C67" s="403">
        <v>81</v>
      </c>
      <c r="D67" s="403">
        <v>4</v>
      </c>
      <c r="E67" s="403">
        <v>447</v>
      </c>
      <c r="F67" s="403">
        <v>0</v>
      </c>
      <c r="G67" s="403">
        <v>29</v>
      </c>
      <c r="H67" s="403">
        <v>16</v>
      </c>
      <c r="I67" s="405">
        <f t="shared" si="4"/>
        <v>663</v>
      </c>
    </row>
    <row r="68" spans="1:26" x14ac:dyDescent="0.25">
      <c r="A68" s="370" t="s">
        <v>30</v>
      </c>
      <c r="B68" s="403">
        <v>80</v>
      </c>
      <c r="C68" s="403">
        <v>103</v>
      </c>
      <c r="D68" s="403">
        <v>7</v>
      </c>
      <c r="E68" s="403">
        <v>382</v>
      </c>
      <c r="F68" s="403">
        <v>15</v>
      </c>
      <c r="G68" s="403">
        <v>33</v>
      </c>
      <c r="H68" s="403">
        <v>13</v>
      </c>
      <c r="I68" s="406">
        <f t="shared" si="4"/>
        <v>633</v>
      </c>
    </row>
    <row r="69" spans="1:26" x14ac:dyDescent="0.25">
      <c r="A69" s="47" t="s">
        <v>31</v>
      </c>
      <c r="B69" s="403">
        <v>69</v>
      </c>
      <c r="C69" s="403">
        <v>83</v>
      </c>
      <c r="D69" s="403">
        <v>2</v>
      </c>
      <c r="E69" s="403">
        <v>347</v>
      </c>
      <c r="F69" s="403">
        <v>0</v>
      </c>
      <c r="G69" s="403">
        <v>37</v>
      </c>
      <c r="H69" s="403">
        <v>14</v>
      </c>
      <c r="I69" s="405">
        <f t="shared" si="4"/>
        <v>552</v>
      </c>
    </row>
    <row r="70" spans="1:26" x14ac:dyDescent="0.25">
      <c r="A70" s="387" t="s">
        <v>32</v>
      </c>
      <c r="B70" s="403">
        <v>76</v>
      </c>
      <c r="C70" s="403">
        <v>84</v>
      </c>
      <c r="D70" s="403">
        <v>0</v>
      </c>
      <c r="E70" s="403">
        <v>405</v>
      </c>
      <c r="F70" s="403">
        <v>10</v>
      </c>
      <c r="G70" s="403">
        <v>42</v>
      </c>
      <c r="H70" s="403">
        <v>22</v>
      </c>
      <c r="I70" s="406">
        <f t="shared" si="4"/>
        <v>639</v>
      </c>
    </row>
    <row r="71" spans="1:26" x14ac:dyDescent="0.25">
      <c r="A71" s="47" t="s">
        <v>33</v>
      </c>
      <c r="B71" s="403">
        <v>60</v>
      </c>
      <c r="C71" s="403">
        <v>0</v>
      </c>
      <c r="D71" s="403">
        <v>0</v>
      </c>
      <c r="E71" s="403">
        <v>267</v>
      </c>
      <c r="F71" s="403">
        <v>0</v>
      </c>
      <c r="G71" s="403">
        <v>44</v>
      </c>
      <c r="H71" s="403">
        <v>11</v>
      </c>
      <c r="I71" s="405">
        <f t="shared" si="4"/>
        <v>382</v>
      </c>
    </row>
    <row r="72" spans="1:26" x14ac:dyDescent="0.25">
      <c r="A72" s="388" t="s">
        <v>34</v>
      </c>
      <c r="B72" s="403">
        <v>69</v>
      </c>
      <c r="C72" s="403">
        <v>98</v>
      </c>
      <c r="D72" s="403">
        <v>0</v>
      </c>
      <c r="E72" s="403">
        <v>336</v>
      </c>
      <c r="F72" s="403">
        <v>7</v>
      </c>
      <c r="G72" s="403">
        <v>34</v>
      </c>
      <c r="H72" s="403">
        <v>5</v>
      </c>
      <c r="I72" s="406">
        <f t="shared" si="4"/>
        <v>549</v>
      </c>
    </row>
    <row r="73" spans="1:26" x14ac:dyDescent="0.25">
      <c r="A73" s="47" t="s">
        <v>35</v>
      </c>
      <c r="B73" s="403">
        <v>91</v>
      </c>
      <c r="C73" s="403">
        <v>85</v>
      </c>
      <c r="D73" s="403">
        <v>0</v>
      </c>
      <c r="E73" s="403">
        <v>397</v>
      </c>
      <c r="F73" s="403">
        <v>0</v>
      </c>
      <c r="G73" s="403">
        <v>37</v>
      </c>
      <c r="H73" s="403">
        <v>15</v>
      </c>
      <c r="I73" s="405">
        <f t="shared" si="4"/>
        <v>625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70" t="s">
        <v>36</v>
      </c>
      <c r="B74" s="403">
        <v>0</v>
      </c>
      <c r="C74" s="403">
        <v>0</v>
      </c>
      <c r="D74" s="403">
        <v>0</v>
      </c>
      <c r="E74" s="403">
        <v>0</v>
      </c>
      <c r="F74" s="403">
        <v>0</v>
      </c>
      <c r="G74" s="403">
        <v>0</v>
      </c>
      <c r="H74" s="403">
        <v>0</v>
      </c>
      <c r="I74" s="406">
        <f t="shared" si="4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thickBot="1" x14ac:dyDescent="0.3">
      <c r="A75" s="389" t="s">
        <v>37</v>
      </c>
      <c r="B75" s="403">
        <v>0</v>
      </c>
      <c r="C75" s="403">
        <v>0</v>
      </c>
      <c r="D75" s="403">
        <v>0</v>
      </c>
      <c r="E75" s="403">
        <v>0</v>
      </c>
      <c r="F75" s="403">
        <v>0</v>
      </c>
      <c r="G75" s="403">
        <v>0</v>
      </c>
      <c r="H75" s="403">
        <v>0</v>
      </c>
      <c r="I75" s="405">
        <f t="shared" si="4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B76" s="407">
        <f>SUM(B64:B75)</f>
        <v>800</v>
      </c>
      <c r="C76" s="408">
        <f t="shared" ref="C76:H76" si="5">SUM(C64:C75)</f>
        <v>851</v>
      </c>
      <c r="D76" s="408">
        <f t="shared" si="5"/>
        <v>13</v>
      </c>
      <c r="E76" s="408">
        <f t="shared" si="5"/>
        <v>3804</v>
      </c>
      <c r="F76" s="408">
        <f t="shared" si="5"/>
        <v>49</v>
      </c>
      <c r="G76" s="408">
        <f t="shared" si="5"/>
        <v>390</v>
      </c>
      <c r="H76" s="408">
        <f t="shared" si="5"/>
        <v>145</v>
      </c>
      <c r="I76" s="410">
        <f>SUM(I64:I75)</f>
        <v>6052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4:26" x14ac:dyDescent="0.25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</sheetData>
  <sheetProtection sheet="1" objects="1" scenarios="1"/>
  <mergeCells count="3">
    <mergeCell ref="Y18:Z18"/>
    <mergeCell ref="Y19:Z19"/>
    <mergeCell ref="Y20:Z20"/>
  </mergeCells>
  <pageMargins left="0.31496062992125984" right="0.23622047244094491" top="0.6692913385826772" bottom="0.35433070866141736" header="0.27" footer="0.31496062992125984"/>
  <pageSetup paperSize="9" scale="70" orientation="landscape" r:id="rId1"/>
  <headerFooter>
    <oddHeader>&amp;L&amp;G&amp;C&amp;F&amp;R&amp;G</oddHeader>
    <oddFooter>&amp;C&amp;A</oddFooter>
  </headerFooter>
  <ignoredErrors>
    <ignoredError sqref="AA47:AA57" unlockedFormula="1"/>
  </ignoredErrors>
  <drawing r:id="rId2"/>
  <legacyDrawing r:id="rId3"/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31"/>
  <sheetViews>
    <sheetView showZeros="0" workbookViewId="0">
      <selection activeCell="M12" sqref="M12"/>
    </sheetView>
  </sheetViews>
  <sheetFormatPr baseColWidth="10" defaultColWidth="4.5703125" defaultRowHeight="12.75" x14ac:dyDescent="0.2"/>
  <cols>
    <col min="1" max="1" width="23.28515625" style="329" bestFit="1" customWidth="1"/>
    <col min="2" max="2" width="8.42578125" style="325" bestFit="1" customWidth="1"/>
    <col min="3" max="3" width="7.85546875" style="325" bestFit="1" customWidth="1"/>
    <col min="4" max="4" width="8" style="325" bestFit="1" customWidth="1"/>
    <col min="5" max="6" width="7.85546875" style="325" bestFit="1" customWidth="1"/>
    <col min="7" max="7" width="8" style="325" bestFit="1" customWidth="1"/>
    <col min="8" max="8" width="6.7109375" style="325" customWidth="1"/>
    <col min="9" max="9" width="5.42578125" style="325" bestFit="1" customWidth="1"/>
    <col min="10" max="10" width="6" style="325" bestFit="1" customWidth="1"/>
    <col min="11" max="11" width="5.42578125" style="325" bestFit="1" customWidth="1"/>
    <col min="12" max="12" width="6.140625" style="325" bestFit="1" customWidth="1"/>
    <col min="13" max="13" width="6.42578125" style="325" bestFit="1" customWidth="1"/>
    <col min="14" max="14" width="5.42578125" style="325" bestFit="1" customWidth="1"/>
    <col min="15" max="15" width="4.42578125" style="325" bestFit="1" customWidth="1"/>
    <col min="16" max="16" width="6.42578125" style="325" bestFit="1" customWidth="1"/>
    <col min="17" max="17" width="4.42578125" style="325" bestFit="1" customWidth="1"/>
    <col min="18" max="18" width="5.42578125" style="325" bestFit="1" customWidth="1"/>
    <col min="19" max="21" width="6.42578125" style="325" bestFit="1" customWidth="1"/>
    <col min="22" max="22" width="8" style="325" bestFit="1" customWidth="1"/>
    <col min="23" max="23" width="8.5703125" style="325" bestFit="1" customWidth="1"/>
    <col min="24" max="25" width="6.42578125" style="325" customWidth="1"/>
    <col min="26" max="26" width="6.42578125" style="325" bestFit="1" customWidth="1"/>
    <col min="27" max="27" width="6.42578125" style="325" customWidth="1"/>
    <col min="28" max="28" width="8.85546875" style="325" bestFit="1" customWidth="1"/>
    <col min="29" max="29" width="10.42578125" style="326" bestFit="1" customWidth="1"/>
    <col min="30" max="30" width="11.42578125" style="327" bestFit="1" customWidth="1"/>
    <col min="31" max="31" width="4.5703125" style="327" customWidth="1"/>
    <col min="32" max="32" width="22.42578125" style="328" bestFit="1" customWidth="1"/>
    <col min="33" max="33" width="7" style="328" bestFit="1" customWidth="1"/>
    <col min="34" max="16384" width="4.5703125" style="328"/>
  </cols>
  <sheetData>
    <row r="1" spans="1:31" ht="21.75" thickBot="1" x14ac:dyDescent="0.3">
      <c r="A1" s="362" t="s">
        <v>143</v>
      </c>
      <c r="B1" s="324"/>
    </row>
    <row r="2" spans="1:31" ht="15" customHeight="1" thickBot="1" x14ac:dyDescent="0.25">
      <c r="B2" s="330"/>
      <c r="C2" s="330"/>
      <c r="D2" s="330"/>
      <c r="E2" s="330"/>
      <c r="F2" s="330"/>
      <c r="G2" s="330"/>
      <c r="H2" s="413" t="s">
        <v>120</v>
      </c>
      <c r="I2" s="414"/>
      <c r="J2" s="331"/>
      <c r="K2" s="330"/>
      <c r="L2" s="330"/>
      <c r="M2" s="413" t="s">
        <v>119</v>
      </c>
      <c r="N2" s="414"/>
      <c r="O2" s="330"/>
      <c r="P2" s="330"/>
      <c r="Q2" s="330"/>
      <c r="R2" s="330"/>
      <c r="S2" s="332"/>
      <c r="T2" s="332"/>
      <c r="U2" s="332"/>
      <c r="V2" s="330"/>
      <c r="W2" s="330"/>
      <c r="X2" s="330"/>
      <c r="Y2" s="330"/>
      <c r="Z2" s="330"/>
      <c r="AA2" s="330"/>
      <c r="AB2" s="330"/>
    </row>
    <row r="3" spans="1:31" s="341" customFormat="1" ht="105" thickBot="1" x14ac:dyDescent="0.25">
      <c r="A3" s="329"/>
      <c r="B3" s="333" t="s">
        <v>118</v>
      </c>
      <c r="C3" s="334" t="s">
        <v>117</v>
      </c>
      <c r="D3" s="333" t="s">
        <v>116</v>
      </c>
      <c r="E3" s="334" t="s">
        <v>115</v>
      </c>
      <c r="F3" s="333" t="s">
        <v>114</v>
      </c>
      <c r="G3" s="335" t="s">
        <v>113</v>
      </c>
      <c r="H3" s="333" t="s">
        <v>112</v>
      </c>
      <c r="I3" s="333" t="s">
        <v>111</v>
      </c>
      <c r="J3" s="336" t="s">
        <v>110</v>
      </c>
      <c r="K3" s="336" t="s">
        <v>109</v>
      </c>
      <c r="L3" s="334" t="s">
        <v>108</v>
      </c>
      <c r="M3" s="333" t="s">
        <v>107</v>
      </c>
      <c r="N3" s="333" t="s">
        <v>106</v>
      </c>
      <c r="O3" s="337" t="s">
        <v>105</v>
      </c>
      <c r="P3" s="337" t="s">
        <v>150</v>
      </c>
      <c r="Q3" s="337" t="s">
        <v>104</v>
      </c>
      <c r="R3" s="337" t="s">
        <v>132</v>
      </c>
      <c r="S3" s="336" t="s">
        <v>103</v>
      </c>
      <c r="T3" s="336" t="s">
        <v>102</v>
      </c>
      <c r="U3" s="336" t="s">
        <v>101</v>
      </c>
      <c r="V3" s="333" t="s">
        <v>100</v>
      </c>
      <c r="W3" s="336" t="s">
        <v>99</v>
      </c>
      <c r="X3" s="333" t="s">
        <v>98</v>
      </c>
      <c r="Y3" s="333" t="s">
        <v>97</v>
      </c>
      <c r="Z3" s="333" t="s">
        <v>96</v>
      </c>
      <c r="AA3" s="333" t="s">
        <v>129</v>
      </c>
      <c r="AB3" s="333" t="s">
        <v>95</v>
      </c>
      <c r="AC3" s="338" t="s">
        <v>38</v>
      </c>
      <c r="AD3" s="339" t="s">
        <v>131</v>
      </c>
      <c r="AE3" s="340"/>
    </row>
    <row r="4" spans="1:31" s="346" customFormat="1" ht="16.899999999999999" customHeight="1" x14ac:dyDescent="0.2">
      <c r="A4" s="342" t="s">
        <v>94</v>
      </c>
      <c r="B4" s="422">
        <v>12.96</v>
      </c>
      <c r="C4" s="423">
        <v>125.62</v>
      </c>
      <c r="D4" s="423">
        <v>35.56</v>
      </c>
      <c r="E4" s="423">
        <v>80.36</v>
      </c>
      <c r="F4" s="423">
        <v>235.61000000000004</v>
      </c>
      <c r="G4" s="424">
        <v>164.92</v>
      </c>
      <c r="H4" s="422">
        <v>9.0210000000000008</v>
      </c>
      <c r="I4" s="425">
        <v>1.98872</v>
      </c>
      <c r="J4" s="426">
        <v>0.42952000000000001</v>
      </c>
      <c r="K4" s="423">
        <v>0.108</v>
      </c>
      <c r="L4" s="424">
        <v>0.93699999999999994</v>
      </c>
      <c r="M4" s="422">
        <v>2.0199999999999996</v>
      </c>
      <c r="N4" s="425">
        <v>0.77500000000000002</v>
      </c>
      <c r="O4" s="426">
        <v>0.12</v>
      </c>
      <c r="P4" s="426"/>
      <c r="Q4" s="423">
        <v>0</v>
      </c>
      <c r="R4" s="424">
        <v>0</v>
      </c>
      <c r="S4" s="422">
        <v>9.0300000000000011</v>
      </c>
      <c r="T4" s="423">
        <v>3.5089999999999999</v>
      </c>
      <c r="U4" s="423">
        <v>4.2090000000000005</v>
      </c>
      <c r="V4" s="423">
        <v>4.24</v>
      </c>
      <c r="W4" s="425">
        <v>0.63200000000000001</v>
      </c>
      <c r="X4" s="426">
        <v>1.81</v>
      </c>
      <c r="Y4" s="423">
        <v>0.28399999999999997</v>
      </c>
      <c r="Z4" s="423">
        <v>11.124000000000001</v>
      </c>
      <c r="AA4" s="423">
        <v>6.3E-2</v>
      </c>
      <c r="AB4" s="425">
        <v>1.9870000000000001</v>
      </c>
      <c r="AC4" s="343">
        <f t="shared" ref="AC4:AC29" si="0">SUM(B4:AB4)</f>
        <v>707.31723999999963</v>
      </c>
      <c r="AD4" s="344">
        <f>'MENSUAL DEIXALLERIES'!B58</f>
        <v>9406</v>
      </c>
      <c r="AE4" s="345"/>
    </row>
    <row r="5" spans="1:31" s="346" customFormat="1" ht="16.899999999999999" customHeight="1" x14ac:dyDescent="0.2">
      <c r="A5" s="347" t="s">
        <v>93</v>
      </c>
      <c r="B5" s="427">
        <v>6.8500000000000005</v>
      </c>
      <c r="C5" s="428">
        <v>182.02</v>
      </c>
      <c r="D5" s="428">
        <v>38.739999999999995</v>
      </c>
      <c r="E5" s="428">
        <v>212.9</v>
      </c>
      <c r="F5" s="428">
        <v>370.28000000000003</v>
      </c>
      <c r="G5" s="429">
        <v>228.63</v>
      </c>
      <c r="H5" s="427">
        <v>12.025000000000002</v>
      </c>
      <c r="I5" s="430">
        <v>3.2709000000000001</v>
      </c>
      <c r="J5" s="431">
        <v>3.0769899999999994</v>
      </c>
      <c r="K5" s="428">
        <v>0.499</v>
      </c>
      <c r="L5" s="429">
        <v>0.35499999999999998</v>
      </c>
      <c r="M5" s="427">
        <v>2.343</v>
      </c>
      <c r="N5" s="430">
        <v>1.218</v>
      </c>
      <c r="O5" s="431">
        <v>0</v>
      </c>
      <c r="P5" s="431"/>
      <c r="Q5" s="428">
        <v>0</v>
      </c>
      <c r="R5" s="429">
        <v>0</v>
      </c>
      <c r="S5" s="427">
        <v>4.7359999999999998</v>
      </c>
      <c r="T5" s="428">
        <v>3.3020000000000005</v>
      </c>
      <c r="U5" s="428">
        <v>3.0529999999999999</v>
      </c>
      <c r="V5" s="428">
        <v>6.86</v>
      </c>
      <c r="W5" s="430">
        <v>0</v>
      </c>
      <c r="X5" s="431">
        <v>2.89</v>
      </c>
      <c r="Y5" s="428">
        <v>1.179</v>
      </c>
      <c r="Z5" s="428">
        <v>12.603000000000002</v>
      </c>
      <c r="AA5" s="428">
        <v>0</v>
      </c>
      <c r="AB5" s="430">
        <v>3.2879999999999998</v>
      </c>
      <c r="AC5" s="348">
        <f t="shared" si="0"/>
        <v>1100.1188900000006</v>
      </c>
      <c r="AD5" s="349">
        <f>'MENSUAL DEIXALLERIES'!C58</f>
        <v>13088</v>
      </c>
      <c r="AE5" s="345"/>
    </row>
    <row r="6" spans="1:31" s="346" customFormat="1" ht="16.899999999999999" customHeight="1" x14ac:dyDescent="0.2">
      <c r="A6" s="350" t="s">
        <v>92</v>
      </c>
      <c r="B6" s="427">
        <v>27.749999999999996</v>
      </c>
      <c r="C6" s="428">
        <v>428.48</v>
      </c>
      <c r="D6" s="428">
        <v>101.14000000000001</v>
      </c>
      <c r="E6" s="428">
        <v>133.38</v>
      </c>
      <c r="F6" s="428">
        <v>615.48</v>
      </c>
      <c r="G6" s="429">
        <v>461.93000000000006</v>
      </c>
      <c r="H6" s="427">
        <v>18.506999999999998</v>
      </c>
      <c r="I6" s="430">
        <v>0.56711</v>
      </c>
      <c r="J6" s="431">
        <v>8.6209999999999995E-2</v>
      </c>
      <c r="K6" s="428">
        <v>0.498</v>
      </c>
      <c r="L6" s="429">
        <v>0.47699999999999998</v>
      </c>
      <c r="M6" s="427">
        <v>3.4849999999999999</v>
      </c>
      <c r="N6" s="430">
        <v>2.1949999999999998</v>
      </c>
      <c r="O6" s="431">
        <v>0.12</v>
      </c>
      <c r="P6" s="431"/>
      <c r="Q6" s="428">
        <v>0</v>
      </c>
      <c r="R6" s="429">
        <v>0</v>
      </c>
      <c r="S6" s="427">
        <v>13.411999999999999</v>
      </c>
      <c r="T6" s="428">
        <v>6.8000000000000007</v>
      </c>
      <c r="U6" s="428">
        <v>8.1050000000000004</v>
      </c>
      <c r="V6" s="428">
        <v>10.68</v>
      </c>
      <c r="W6" s="430">
        <v>2.093</v>
      </c>
      <c r="X6" s="431">
        <v>4.17</v>
      </c>
      <c r="Y6" s="428">
        <v>1.52</v>
      </c>
      <c r="Z6" s="428">
        <v>16.562999999999999</v>
      </c>
      <c r="AA6" s="428">
        <v>9.8999999999999991E-2</v>
      </c>
      <c r="AB6" s="430">
        <v>4.1890000000000001</v>
      </c>
      <c r="AC6" s="348">
        <f t="shared" si="0"/>
        <v>1861.7263200000002</v>
      </c>
      <c r="AD6" s="349">
        <f>'MENSUAL DEIXALLERIES'!D58</f>
        <v>12707</v>
      </c>
      <c r="AE6" s="345"/>
    </row>
    <row r="7" spans="1:31" s="346" customFormat="1" ht="16.899999999999999" customHeight="1" x14ac:dyDescent="0.2">
      <c r="A7" s="347" t="s">
        <v>91</v>
      </c>
      <c r="B7" s="427">
        <v>0.6</v>
      </c>
      <c r="C7" s="428">
        <v>128.88</v>
      </c>
      <c r="D7" s="428">
        <v>26.859999999999996</v>
      </c>
      <c r="E7" s="428">
        <v>24.56</v>
      </c>
      <c r="F7" s="428">
        <v>321.80000000000007</v>
      </c>
      <c r="G7" s="429">
        <v>387.6</v>
      </c>
      <c r="H7" s="427">
        <v>10.248000000000001</v>
      </c>
      <c r="I7" s="430">
        <v>0.82629999999999992</v>
      </c>
      <c r="J7" s="431">
        <v>1.52264</v>
      </c>
      <c r="K7" s="428">
        <v>0.158</v>
      </c>
      <c r="L7" s="429">
        <v>0.81699999999999995</v>
      </c>
      <c r="M7" s="427">
        <v>3.5920000000000005</v>
      </c>
      <c r="N7" s="430">
        <v>1.2869999999999999</v>
      </c>
      <c r="O7" s="431">
        <v>0.09</v>
      </c>
      <c r="P7" s="431"/>
      <c r="Q7" s="428">
        <v>0</v>
      </c>
      <c r="R7" s="429">
        <v>0</v>
      </c>
      <c r="S7" s="427">
        <v>1.8650000000000002</v>
      </c>
      <c r="T7" s="428">
        <v>0.60399999999999998</v>
      </c>
      <c r="U7" s="428">
        <v>8.1000000000000003E-2</v>
      </c>
      <c r="V7" s="428">
        <v>2.23</v>
      </c>
      <c r="W7" s="430">
        <v>0.57899999999999996</v>
      </c>
      <c r="X7" s="431">
        <v>3.194</v>
      </c>
      <c r="Y7" s="428">
        <v>0</v>
      </c>
      <c r="Z7" s="428">
        <v>9.8689999999999998</v>
      </c>
      <c r="AA7" s="428">
        <v>2.1999999999999999E-2</v>
      </c>
      <c r="AB7" s="430">
        <v>1.8679999999999999</v>
      </c>
      <c r="AC7" s="348">
        <f t="shared" si="0"/>
        <v>929.15294000000029</v>
      </c>
      <c r="AD7" s="349">
        <f>'MENSUAL DEIXALLERIES'!E58</f>
        <v>12014</v>
      </c>
      <c r="AE7" s="345"/>
    </row>
    <row r="8" spans="1:31" s="346" customFormat="1" ht="16.899999999999999" customHeight="1" x14ac:dyDescent="0.2">
      <c r="A8" s="347" t="s">
        <v>90</v>
      </c>
      <c r="B8" s="427">
        <v>13.970000000000002</v>
      </c>
      <c r="C8" s="428">
        <v>204.42</v>
      </c>
      <c r="D8" s="428">
        <v>48.8</v>
      </c>
      <c r="E8" s="428">
        <v>66.319999999999993</v>
      </c>
      <c r="F8" s="428">
        <v>313.45999999999998</v>
      </c>
      <c r="G8" s="429">
        <v>253.14</v>
      </c>
      <c r="H8" s="427">
        <v>10.036000000000001</v>
      </c>
      <c r="I8" s="430">
        <v>1.6363099999999999</v>
      </c>
      <c r="J8" s="431">
        <v>1.3546999999999998</v>
      </c>
      <c r="K8" s="428">
        <v>0.44899999999999995</v>
      </c>
      <c r="L8" s="429">
        <v>1.159</v>
      </c>
      <c r="M8" s="427">
        <v>2.6080000000000001</v>
      </c>
      <c r="N8" s="430">
        <v>0.85</v>
      </c>
      <c r="O8" s="431">
        <v>0.12</v>
      </c>
      <c r="P8" s="431"/>
      <c r="Q8" s="428">
        <v>0</v>
      </c>
      <c r="R8" s="429">
        <v>0</v>
      </c>
      <c r="S8" s="427">
        <v>8.3529999999999998</v>
      </c>
      <c r="T8" s="428">
        <v>4.3279999999999994</v>
      </c>
      <c r="U8" s="428">
        <v>6.6619999999999999</v>
      </c>
      <c r="V8" s="428">
        <v>6.3829999999999991</v>
      </c>
      <c r="W8" s="430">
        <v>4.3099999999999996</v>
      </c>
      <c r="X8" s="431">
        <v>4.71</v>
      </c>
      <c r="Y8" s="428">
        <v>2.851</v>
      </c>
      <c r="Z8" s="428">
        <v>17.325499999999995</v>
      </c>
      <c r="AA8" s="428">
        <v>7.1000000000000008E-2</v>
      </c>
      <c r="AB8" s="430">
        <v>0.72000000000000008</v>
      </c>
      <c r="AC8" s="348">
        <f t="shared" si="0"/>
        <v>974.03650999999991</v>
      </c>
      <c r="AD8" s="349">
        <f>'MENSUAL DEIXALLERIES'!F58</f>
        <v>13403</v>
      </c>
      <c r="AE8" s="345"/>
    </row>
    <row r="9" spans="1:31" s="346" customFormat="1" ht="16.899999999999999" customHeight="1" x14ac:dyDescent="0.2">
      <c r="A9" s="347" t="s">
        <v>89</v>
      </c>
      <c r="B9" s="427">
        <v>10.59</v>
      </c>
      <c r="C9" s="428">
        <v>0</v>
      </c>
      <c r="D9" s="428">
        <v>15.259999999999998</v>
      </c>
      <c r="E9" s="428">
        <v>59.099999999999994</v>
      </c>
      <c r="F9" s="428">
        <v>170.6</v>
      </c>
      <c r="G9" s="429">
        <v>273.60999999999996</v>
      </c>
      <c r="H9" s="427">
        <v>8.286999999999999</v>
      </c>
      <c r="I9" s="430">
        <v>0.21418999999999999</v>
      </c>
      <c r="J9" s="431">
        <v>0.42052</v>
      </c>
      <c r="K9" s="428">
        <v>0.26600000000000001</v>
      </c>
      <c r="L9" s="429">
        <v>0.26200000000000001</v>
      </c>
      <c r="M9" s="427">
        <v>1.294</v>
      </c>
      <c r="N9" s="430">
        <v>0.91700000000000004</v>
      </c>
      <c r="O9" s="431">
        <v>0</v>
      </c>
      <c r="P9" s="431"/>
      <c r="Q9" s="428">
        <v>0</v>
      </c>
      <c r="R9" s="429">
        <v>0</v>
      </c>
      <c r="S9" s="427">
        <v>2.0590000000000002</v>
      </c>
      <c r="T9" s="428">
        <v>2.5270000000000001</v>
      </c>
      <c r="U9" s="428">
        <v>4.0249999999999995</v>
      </c>
      <c r="V9" s="428">
        <v>5.0500000000000007</v>
      </c>
      <c r="W9" s="430">
        <v>1.0819999999999999</v>
      </c>
      <c r="X9" s="431">
        <v>3.2800000000000002</v>
      </c>
      <c r="Y9" s="428">
        <v>0.56100000000000005</v>
      </c>
      <c r="Z9" s="428">
        <v>11.292999999999999</v>
      </c>
      <c r="AA9" s="428">
        <v>0</v>
      </c>
      <c r="AB9" s="430">
        <v>1.5170000000000001</v>
      </c>
      <c r="AC9" s="348">
        <f t="shared" si="0"/>
        <v>572.21470999999997</v>
      </c>
      <c r="AD9" s="349">
        <f>'MENSUAL DEIXALLERIES'!G58</f>
        <v>4425</v>
      </c>
      <c r="AE9" s="345"/>
    </row>
    <row r="10" spans="1:31" s="346" customFormat="1" ht="16.899999999999999" customHeight="1" x14ac:dyDescent="0.2">
      <c r="A10" s="347" t="s">
        <v>88</v>
      </c>
      <c r="B10" s="427">
        <v>2.79</v>
      </c>
      <c r="C10" s="428">
        <v>338.17499999999995</v>
      </c>
      <c r="D10" s="428">
        <v>33.979999999999997</v>
      </c>
      <c r="E10" s="428">
        <v>60.44</v>
      </c>
      <c r="F10" s="428">
        <v>473.69000000000005</v>
      </c>
      <c r="G10" s="429">
        <v>397.86</v>
      </c>
      <c r="H10" s="427">
        <v>8.6240000000000006</v>
      </c>
      <c r="I10" s="430">
        <v>1.1197600000000001</v>
      </c>
      <c r="J10" s="431">
        <v>1.51837</v>
      </c>
      <c r="K10" s="428">
        <v>0.41000000000000003</v>
      </c>
      <c r="L10" s="429">
        <v>0.7</v>
      </c>
      <c r="M10" s="427">
        <v>2.4900000000000002</v>
      </c>
      <c r="N10" s="430">
        <v>1.1300000000000001</v>
      </c>
      <c r="O10" s="431">
        <v>0.13</v>
      </c>
      <c r="P10" s="431"/>
      <c r="Q10" s="428">
        <v>0</v>
      </c>
      <c r="R10" s="429">
        <v>0</v>
      </c>
      <c r="S10" s="427">
        <v>1.7950000000000002</v>
      </c>
      <c r="T10" s="428">
        <v>2.6520000000000001</v>
      </c>
      <c r="U10" s="428">
        <v>0.155</v>
      </c>
      <c r="V10" s="428">
        <v>5.38</v>
      </c>
      <c r="W10" s="430">
        <v>0.22700000000000001</v>
      </c>
      <c r="X10" s="431">
        <v>5.29</v>
      </c>
      <c r="Y10" s="428">
        <v>0</v>
      </c>
      <c r="Z10" s="428">
        <v>4.26</v>
      </c>
      <c r="AA10" s="428">
        <v>1.9E-2</v>
      </c>
      <c r="AB10" s="430">
        <v>0.89500000000000002</v>
      </c>
      <c r="AC10" s="348">
        <f t="shared" si="0"/>
        <v>1343.7301300000006</v>
      </c>
      <c r="AD10" s="349">
        <f>'MENSUAL DEIXALLERIES'!H58</f>
        <v>5279</v>
      </c>
      <c r="AE10" s="345"/>
    </row>
    <row r="11" spans="1:31" s="346" customFormat="1" ht="16.899999999999999" customHeight="1" x14ac:dyDescent="0.2">
      <c r="A11" s="347" t="s">
        <v>87</v>
      </c>
      <c r="B11" s="427">
        <v>16.12</v>
      </c>
      <c r="C11" s="428">
        <v>180.79999999999998</v>
      </c>
      <c r="D11" s="428">
        <v>46.64</v>
      </c>
      <c r="E11" s="428">
        <v>65.099999999999994</v>
      </c>
      <c r="F11" s="428">
        <v>210.07000000000002</v>
      </c>
      <c r="G11" s="429">
        <v>199.45999999999998</v>
      </c>
      <c r="H11" s="427">
        <v>12.943999999999999</v>
      </c>
      <c r="I11" s="430">
        <v>0.51173000000000002</v>
      </c>
      <c r="J11" s="431">
        <v>0.45315999999999995</v>
      </c>
      <c r="K11" s="428">
        <v>0.65400000000000003</v>
      </c>
      <c r="L11" s="429">
        <v>0.43099999999999999</v>
      </c>
      <c r="M11" s="427">
        <v>5.5249999999999995</v>
      </c>
      <c r="N11" s="430">
        <v>1.9870000000000001</v>
      </c>
      <c r="O11" s="431">
        <v>0.12</v>
      </c>
      <c r="P11" s="431"/>
      <c r="Q11" s="428">
        <v>0</v>
      </c>
      <c r="R11" s="429">
        <v>0</v>
      </c>
      <c r="S11" s="427">
        <v>7.5739999999999998</v>
      </c>
      <c r="T11" s="428">
        <v>6.0570000000000004</v>
      </c>
      <c r="U11" s="428">
        <v>8.3759999999999977</v>
      </c>
      <c r="V11" s="428">
        <v>8.0400000000000009</v>
      </c>
      <c r="W11" s="430">
        <v>4.3049999999999997</v>
      </c>
      <c r="X11" s="431">
        <v>5.49</v>
      </c>
      <c r="Y11" s="428">
        <v>1.536</v>
      </c>
      <c r="Z11" s="428">
        <v>16.125</v>
      </c>
      <c r="AA11" s="428">
        <v>0.127</v>
      </c>
      <c r="AB11" s="430">
        <v>2.4709999999999996</v>
      </c>
      <c r="AC11" s="348">
        <f t="shared" si="0"/>
        <v>800.91688999999974</v>
      </c>
      <c r="AD11" s="349">
        <f>'MENSUAL DEIXALLERIES'!I58</f>
        <v>14773</v>
      </c>
      <c r="AE11" s="345"/>
    </row>
    <row r="12" spans="1:31" s="346" customFormat="1" ht="16.899999999999999" customHeight="1" x14ac:dyDescent="0.2">
      <c r="A12" s="347" t="s">
        <v>86</v>
      </c>
      <c r="B12" s="427">
        <v>18.52</v>
      </c>
      <c r="C12" s="428">
        <v>566.67999999999984</v>
      </c>
      <c r="D12" s="428">
        <v>71.039999999999992</v>
      </c>
      <c r="E12" s="428">
        <v>70.2</v>
      </c>
      <c r="F12" s="428">
        <v>784.81</v>
      </c>
      <c r="G12" s="429">
        <v>801.04</v>
      </c>
      <c r="H12" s="427">
        <v>26.484999999999999</v>
      </c>
      <c r="I12" s="430">
        <v>1.4238</v>
      </c>
      <c r="J12" s="431">
        <v>0.46310000000000001</v>
      </c>
      <c r="K12" s="428">
        <v>0.98000000000000009</v>
      </c>
      <c r="L12" s="429">
        <v>0.94</v>
      </c>
      <c r="M12" s="427">
        <v>8.6110000000000007</v>
      </c>
      <c r="N12" s="430">
        <v>1.9650000000000003</v>
      </c>
      <c r="O12" s="431">
        <v>0</v>
      </c>
      <c r="P12" s="431"/>
      <c r="Q12" s="428">
        <v>0</v>
      </c>
      <c r="R12" s="429">
        <v>0</v>
      </c>
      <c r="S12" s="427">
        <v>18.410999999999998</v>
      </c>
      <c r="T12" s="428">
        <v>11.579000000000001</v>
      </c>
      <c r="U12" s="428">
        <v>10.972000000000001</v>
      </c>
      <c r="V12" s="428">
        <v>13.62</v>
      </c>
      <c r="W12" s="430">
        <v>5.641</v>
      </c>
      <c r="X12" s="431">
        <v>6.39</v>
      </c>
      <c r="Y12" s="428">
        <v>0</v>
      </c>
      <c r="Z12" s="428">
        <v>26.317999999999998</v>
      </c>
      <c r="AA12" s="428">
        <v>0.25800000000000001</v>
      </c>
      <c r="AB12" s="430">
        <v>2.3889999999999998</v>
      </c>
      <c r="AC12" s="348">
        <f t="shared" si="0"/>
        <v>2448.7359000000006</v>
      </c>
      <c r="AD12" s="349">
        <f>'MENSUAL DEIXALLERIES'!J58</f>
        <v>23958</v>
      </c>
      <c r="AE12" s="345"/>
    </row>
    <row r="13" spans="1:31" s="346" customFormat="1" ht="16.899999999999999" customHeight="1" x14ac:dyDescent="0.2">
      <c r="A13" s="347" t="s">
        <v>85</v>
      </c>
      <c r="B13" s="427">
        <v>6.9099999999999984</v>
      </c>
      <c r="C13" s="428">
        <v>744.66</v>
      </c>
      <c r="D13" s="428">
        <v>39.660000000000011</v>
      </c>
      <c r="E13" s="428">
        <v>36.660000000000004</v>
      </c>
      <c r="F13" s="428">
        <v>363.55</v>
      </c>
      <c r="G13" s="429">
        <v>468.92000000000007</v>
      </c>
      <c r="H13" s="427">
        <v>19.484999999999999</v>
      </c>
      <c r="I13" s="430">
        <v>1.06182</v>
      </c>
      <c r="J13" s="431">
        <v>0.36229</v>
      </c>
      <c r="K13" s="428">
        <v>0.48799999999999999</v>
      </c>
      <c r="L13" s="429">
        <v>1.1919999999999999</v>
      </c>
      <c r="M13" s="427">
        <v>4.0590000000000002</v>
      </c>
      <c r="N13" s="430">
        <v>1.6800000000000002</v>
      </c>
      <c r="O13" s="431">
        <v>0</v>
      </c>
      <c r="P13" s="431"/>
      <c r="Q13" s="428">
        <v>0</v>
      </c>
      <c r="R13" s="429">
        <v>0</v>
      </c>
      <c r="S13" s="427">
        <v>5.7489999999999997</v>
      </c>
      <c r="T13" s="428">
        <v>5.1029999999999998</v>
      </c>
      <c r="U13" s="428">
        <v>2.992</v>
      </c>
      <c r="V13" s="428">
        <v>13.580000000000002</v>
      </c>
      <c r="W13" s="430">
        <v>2.5170000000000003</v>
      </c>
      <c r="X13" s="431">
        <v>4.46</v>
      </c>
      <c r="Y13" s="428">
        <v>0</v>
      </c>
      <c r="Z13" s="428">
        <v>11.161999999999999</v>
      </c>
      <c r="AA13" s="428">
        <v>8.7000000000000008E-2</v>
      </c>
      <c r="AB13" s="430">
        <v>1.171</v>
      </c>
      <c r="AC13" s="348">
        <f t="shared" si="0"/>
        <v>1735.50911</v>
      </c>
      <c r="AD13" s="349">
        <f>'MENSUAL DEIXALLERIES'!K58</f>
        <v>9046</v>
      </c>
      <c r="AE13" s="345"/>
    </row>
    <row r="14" spans="1:31" s="346" customFormat="1" ht="16.899999999999999" customHeight="1" x14ac:dyDescent="0.2">
      <c r="A14" s="347" t="s">
        <v>84</v>
      </c>
      <c r="B14" s="427">
        <v>2.7900000000000005</v>
      </c>
      <c r="C14" s="428">
        <v>224.86</v>
      </c>
      <c r="D14" s="428">
        <v>7.42</v>
      </c>
      <c r="E14" s="428">
        <v>3.4649999999999999</v>
      </c>
      <c r="F14" s="428">
        <v>61.45</v>
      </c>
      <c r="G14" s="429">
        <v>125.58</v>
      </c>
      <c r="H14" s="427">
        <v>8.266</v>
      </c>
      <c r="I14" s="430">
        <v>0.108</v>
      </c>
      <c r="J14" s="431">
        <v>0.46446999999999999</v>
      </c>
      <c r="K14" s="428">
        <v>0.32800000000000001</v>
      </c>
      <c r="L14" s="429">
        <v>0.34899999999999998</v>
      </c>
      <c r="M14" s="427">
        <v>0.65600000000000003</v>
      </c>
      <c r="N14" s="430">
        <v>0.85</v>
      </c>
      <c r="O14" s="431">
        <v>0</v>
      </c>
      <c r="P14" s="431"/>
      <c r="Q14" s="428">
        <v>0</v>
      </c>
      <c r="R14" s="429">
        <v>0</v>
      </c>
      <c r="S14" s="427">
        <v>0.69699999999999995</v>
      </c>
      <c r="T14" s="428">
        <v>0.81400000000000006</v>
      </c>
      <c r="U14" s="428">
        <v>0.40699999999999997</v>
      </c>
      <c r="V14" s="428">
        <v>3.67</v>
      </c>
      <c r="W14" s="430">
        <v>0</v>
      </c>
      <c r="X14" s="431">
        <v>1.55</v>
      </c>
      <c r="Y14" s="428">
        <v>0.57199999999999995</v>
      </c>
      <c r="Z14" s="428">
        <v>4.34</v>
      </c>
      <c r="AA14" s="428">
        <v>1.2999999999999999E-2</v>
      </c>
      <c r="AB14" s="430">
        <v>1.01</v>
      </c>
      <c r="AC14" s="348">
        <f t="shared" si="0"/>
        <v>449.65947</v>
      </c>
      <c r="AD14" s="349">
        <f>'MENSUAL DEIXALLERIES'!L58</f>
        <v>3708</v>
      </c>
      <c r="AE14" s="345"/>
    </row>
    <row r="15" spans="1:31" s="346" customFormat="1" ht="16.899999999999999" customHeight="1" x14ac:dyDescent="0.2">
      <c r="A15" s="347" t="s">
        <v>83</v>
      </c>
      <c r="B15" s="427">
        <v>11.43</v>
      </c>
      <c r="C15" s="428">
        <v>165.92000000000002</v>
      </c>
      <c r="D15" s="428">
        <v>19.619999999999997</v>
      </c>
      <c r="E15" s="428">
        <v>90.08</v>
      </c>
      <c r="F15" s="428">
        <v>354.65</v>
      </c>
      <c r="G15" s="429">
        <v>220.79999999999998</v>
      </c>
      <c r="H15" s="427">
        <v>7.4370000000000003</v>
      </c>
      <c r="I15" s="430">
        <v>2.89391</v>
      </c>
      <c r="J15" s="431">
        <v>3.0215000000000001</v>
      </c>
      <c r="K15" s="428">
        <v>0.28500000000000003</v>
      </c>
      <c r="L15" s="429">
        <v>0.17599999999999999</v>
      </c>
      <c r="M15" s="427">
        <v>1.69</v>
      </c>
      <c r="N15" s="430">
        <v>1.8149999999999999</v>
      </c>
      <c r="O15" s="431">
        <v>0</v>
      </c>
      <c r="P15" s="431"/>
      <c r="Q15" s="428">
        <v>0</v>
      </c>
      <c r="R15" s="429">
        <v>0</v>
      </c>
      <c r="S15" s="427">
        <v>3.3210000000000002</v>
      </c>
      <c r="T15" s="428">
        <v>2.4020000000000001</v>
      </c>
      <c r="U15" s="428">
        <v>0.86099999999999999</v>
      </c>
      <c r="V15" s="428">
        <v>5.7700000000000005</v>
      </c>
      <c r="W15" s="430">
        <v>1.7050000000000001</v>
      </c>
      <c r="X15" s="431">
        <v>1.21</v>
      </c>
      <c r="Y15" s="428">
        <v>0</v>
      </c>
      <c r="Z15" s="428">
        <v>12.310499999999999</v>
      </c>
      <c r="AA15" s="428">
        <v>0.17899999999999999</v>
      </c>
      <c r="AB15" s="430">
        <v>2.9239999999999999</v>
      </c>
      <c r="AC15" s="348">
        <f t="shared" si="0"/>
        <v>910.5009100000002</v>
      </c>
      <c r="AD15" s="349">
        <f>'MENSUAL DEIXALLERIES'!M58</f>
        <v>8442</v>
      </c>
      <c r="AE15" s="345"/>
    </row>
    <row r="16" spans="1:31" s="346" customFormat="1" ht="16.899999999999999" customHeight="1" x14ac:dyDescent="0.2">
      <c r="A16" s="347" t="s">
        <v>82</v>
      </c>
      <c r="B16" s="427">
        <v>11.879999999999999</v>
      </c>
      <c r="C16" s="428">
        <v>132.70000000000002</v>
      </c>
      <c r="D16" s="428">
        <v>24.360000000000003</v>
      </c>
      <c r="E16" s="428">
        <v>109.77999999999999</v>
      </c>
      <c r="F16" s="428">
        <v>301.57</v>
      </c>
      <c r="G16" s="429">
        <v>229.17000000000002</v>
      </c>
      <c r="H16" s="427">
        <v>11.209</v>
      </c>
      <c r="I16" s="430">
        <v>1.6468200000000002</v>
      </c>
      <c r="J16" s="431">
        <v>0.70876000000000006</v>
      </c>
      <c r="K16" s="428">
        <v>0.35299999999999998</v>
      </c>
      <c r="L16" s="429">
        <v>0.40400000000000003</v>
      </c>
      <c r="M16" s="427">
        <v>1.615</v>
      </c>
      <c r="N16" s="430">
        <v>1.927</v>
      </c>
      <c r="O16" s="431">
        <v>0</v>
      </c>
      <c r="P16" s="431"/>
      <c r="Q16" s="428">
        <v>0</v>
      </c>
      <c r="R16" s="429">
        <v>0</v>
      </c>
      <c r="S16" s="427">
        <v>6.293000000000001</v>
      </c>
      <c r="T16" s="428">
        <v>3.9450000000000003</v>
      </c>
      <c r="U16" s="428">
        <v>6.8119999999999994</v>
      </c>
      <c r="V16" s="428">
        <v>7.0900000000000007</v>
      </c>
      <c r="W16" s="430">
        <v>3.0010000000000003</v>
      </c>
      <c r="X16" s="431">
        <v>1.71</v>
      </c>
      <c r="Y16" s="428">
        <v>0.57999999999999996</v>
      </c>
      <c r="Z16" s="428">
        <v>15.826999999999998</v>
      </c>
      <c r="AA16" s="428">
        <v>5.7000000000000002E-2</v>
      </c>
      <c r="AB16" s="430">
        <v>2.9699999999999998</v>
      </c>
      <c r="AC16" s="348">
        <f t="shared" si="0"/>
        <v>875.60858000000019</v>
      </c>
      <c r="AD16" s="349">
        <f>'MENSUAL DEIXALLERIES'!N58</f>
        <v>10517</v>
      </c>
      <c r="AE16" s="345"/>
    </row>
    <row r="17" spans="1:35" s="346" customFormat="1" ht="16.899999999999999" customHeight="1" x14ac:dyDescent="0.2">
      <c r="A17" s="350" t="s">
        <v>81</v>
      </c>
      <c r="B17" s="427">
        <v>19.070000000000004</v>
      </c>
      <c r="C17" s="428">
        <v>268.64999999999998</v>
      </c>
      <c r="D17" s="428">
        <v>41.139999999999993</v>
      </c>
      <c r="E17" s="428">
        <v>211.58000000000004</v>
      </c>
      <c r="F17" s="428">
        <v>625.29000000000008</v>
      </c>
      <c r="G17" s="429">
        <v>377.78999999999996</v>
      </c>
      <c r="H17" s="427">
        <v>16.841999999999999</v>
      </c>
      <c r="I17" s="430">
        <v>3.7752100000000008</v>
      </c>
      <c r="J17" s="431">
        <v>1.4999699999999998</v>
      </c>
      <c r="K17" s="428">
        <v>0.33</v>
      </c>
      <c r="L17" s="429">
        <v>0.23699999999999999</v>
      </c>
      <c r="M17" s="427">
        <v>2.0890000000000004</v>
      </c>
      <c r="N17" s="430">
        <v>1.69</v>
      </c>
      <c r="O17" s="431">
        <v>0</v>
      </c>
      <c r="P17" s="431"/>
      <c r="Q17" s="428">
        <v>0</v>
      </c>
      <c r="R17" s="429">
        <v>0</v>
      </c>
      <c r="S17" s="427">
        <v>3.9080000000000004</v>
      </c>
      <c r="T17" s="428">
        <v>5.1939999999999991</v>
      </c>
      <c r="U17" s="428">
        <v>4.657</v>
      </c>
      <c r="V17" s="428">
        <v>21.200000000000003</v>
      </c>
      <c r="W17" s="430">
        <v>2.2030000000000003</v>
      </c>
      <c r="X17" s="431">
        <v>2.8</v>
      </c>
      <c r="Y17" s="428">
        <v>0.56200000000000006</v>
      </c>
      <c r="Z17" s="428">
        <v>9.2323000000000004</v>
      </c>
      <c r="AA17" s="428">
        <v>5.7499999999999996E-2</v>
      </c>
      <c r="AB17" s="430">
        <v>1.4350000000000001</v>
      </c>
      <c r="AC17" s="348">
        <f t="shared" si="0"/>
        <v>1621.2319799999996</v>
      </c>
      <c r="AD17" s="349">
        <f>'MENSUAL DEIXALLERIES'!O58</f>
        <v>14487</v>
      </c>
      <c r="AE17" s="345"/>
    </row>
    <row r="18" spans="1:35" s="346" customFormat="1" ht="16.899999999999999" customHeight="1" x14ac:dyDescent="0.2">
      <c r="A18" s="347" t="s">
        <v>80</v>
      </c>
      <c r="B18" s="427">
        <v>11.719999999999999</v>
      </c>
      <c r="C18" s="428">
        <v>306.524</v>
      </c>
      <c r="D18" s="428">
        <v>41.900000000000006</v>
      </c>
      <c r="E18" s="428">
        <v>147.38</v>
      </c>
      <c r="F18" s="428">
        <v>683.70999999999981</v>
      </c>
      <c r="G18" s="429">
        <v>378.45000000000005</v>
      </c>
      <c r="H18" s="427">
        <v>13.920999999999999</v>
      </c>
      <c r="I18" s="430">
        <v>0.71774000000000004</v>
      </c>
      <c r="J18" s="431">
        <v>0.23466999999999999</v>
      </c>
      <c r="K18" s="428">
        <v>0.55900000000000005</v>
      </c>
      <c r="L18" s="429">
        <v>0.45700000000000002</v>
      </c>
      <c r="M18" s="427">
        <v>1.9830000000000001</v>
      </c>
      <c r="N18" s="430">
        <v>1.8699999999999999</v>
      </c>
      <c r="O18" s="431">
        <v>0.08</v>
      </c>
      <c r="P18" s="431"/>
      <c r="Q18" s="428">
        <v>0</v>
      </c>
      <c r="R18" s="429">
        <v>0</v>
      </c>
      <c r="S18" s="427">
        <v>6.5119999999999996</v>
      </c>
      <c r="T18" s="428">
        <v>4.3410000000000002</v>
      </c>
      <c r="U18" s="428">
        <v>4.7719999999999994</v>
      </c>
      <c r="V18" s="428">
        <v>6.3229999999999995</v>
      </c>
      <c r="W18" s="430">
        <v>2.5130000000000003</v>
      </c>
      <c r="X18" s="431">
        <v>3.7800000000000002</v>
      </c>
      <c r="Y18" s="428">
        <v>0</v>
      </c>
      <c r="Z18" s="428">
        <v>20.407</v>
      </c>
      <c r="AA18" s="428">
        <v>5.6999999999999995E-2</v>
      </c>
      <c r="AB18" s="430">
        <v>1.9490000000000003</v>
      </c>
      <c r="AC18" s="348">
        <f t="shared" si="0"/>
        <v>1640.1604099999997</v>
      </c>
      <c r="AD18" s="349">
        <f>'MENSUAL DEIXALLERIES'!P58</f>
        <v>14825</v>
      </c>
      <c r="AE18" s="345"/>
    </row>
    <row r="19" spans="1:35" s="346" customFormat="1" ht="16.899999999999999" customHeight="1" x14ac:dyDescent="0.2">
      <c r="A19" s="350" t="s">
        <v>79</v>
      </c>
      <c r="B19" s="427">
        <v>14.240000000000002</v>
      </c>
      <c r="C19" s="428">
        <v>793.15</v>
      </c>
      <c r="D19" s="428">
        <v>38.980000000000004</v>
      </c>
      <c r="E19" s="428">
        <v>159.06</v>
      </c>
      <c r="F19" s="428">
        <v>549.13</v>
      </c>
      <c r="G19" s="429">
        <v>314.25</v>
      </c>
      <c r="H19" s="427">
        <v>37.24</v>
      </c>
      <c r="I19" s="430">
        <v>0.60611999999999999</v>
      </c>
      <c r="J19" s="431">
        <v>0.59121000000000001</v>
      </c>
      <c r="K19" s="428">
        <v>0.79199999999999993</v>
      </c>
      <c r="L19" s="429">
        <v>0.63600000000000001</v>
      </c>
      <c r="M19" s="427">
        <v>4.2629999999999999</v>
      </c>
      <c r="N19" s="430">
        <v>2.11</v>
      </c>
      <c r="O19" s="431">
        <v>7.0000000000000007E-2</v>
      </c>
      <c r="P19" s="431"/>
      <c r="Q19" s="428">
        <v>0</v>
      </c>
      <c r="R19" s="429">
        <v>0</v>
      </c>
      <c r="S19" s="427">
        <v>1.9000000000000001</v>
      </c>
      <c r="T19" s="428">
        <v>6.0309999999999997</v>
      </c>
      <c r="U19" s="428">
        <v>2.839</v>
      </c>
      <c r="V19" s="428">
        <v>7.8239999999999998</v>
      </c>
      <c r="W19" s="430">
        <v>1.9680000000000002</v>
      </c>
      <c r="X19" s="431">
        <v>1.37</v>
      </c>
      <c r="Y19" s="428">
        <v>1.3260000000000001</v>
      </c>
      <c r="Z19" s="428">
        <v>11.553000000000001</v>
      </c>
      <c r="AA19" s="428">
        <v>0.29400000000000004</v>
      </c>
      <c r="AB19" s="430">
        <v>2.742</v>
      </c>
      <c r="AC19" s="348">
        <f t="shared" si="0"/>
        <v>1952.9653299999998</v>
      </c>
      <c r="AD19" s="349">
        <f>'MENSUAL DEIXALLERIES'!Q58</f>
        <v>18427</v>
      </c>
      <c r="AE19" s="345"/>
    </row>
    <row r="20" spans="1:35" s="346" customFormat="1" ht="16.899999999999999" customHeight="1" x14ac:dyDescent="0.2">
      <c r="A20" s="347" t="s">
        <v>78</v>
      </c>
      <c r="B20" s="427">
        <v>4.3099999999999996</v>
      </c>
      <c r="C20" s="428">
        <v>138.82</v>
      </c>
      <c r="D20" s="428">
        <v>15.959999999999997</v>
      </c>
      <c r="E20" s="428">
        <v>18.380000000000003</v>
      </c>
      <c r="F20" s="428">
        <v>203.11999999999998</v>
      </c>
      <c r="G20" s="429">
        <v>128.79</v>
      </c>
      <c r="H20" s="427">
        <v>5.4939999999999998</v>
      </c>
      <c r="I20" s="430">
        <v>3.6282199999999998</v>
      </c>
      <c r="J20" s="431">
        <v>0.85504000000000002</v>
      </c>
      <c r="K20" s="428">
        <v>0.36899999999999999</v>
      </c>
      <c r="L20" s="429">
        <v>1.0760000000000001</v>
      </c>
      <c r="M20" s="427">
        <v>5.9630000000000001</v>
      </c>
      <c r="N20" s="430">
        <v>0.9</v>
      </c>
      <c r="O20" s="431">
        <v>0.12</v>
      </c>
      <c r="P20" s="431"/>
      <c r="Q20" s="428">
        <v>1.35</v>
      </c>
      <c r="R20" s="429">
        <v>0</v>
      </c>
      <c r="S20" s="427">
        <v>5.1360000000000001</v>
      </c>
      <c r="T20" s="428">
        <v>3.2799999999999994</v>
      </c>
      <c r="U20" s="428">
        <v>14.763</v>
      </c>
      <c r="V20" s="428">
        <v>7.04</v>
      </c>
      <c r="W20" s="430">
        <v>3.1069999999999998</v>
      </c>
      <c r="X20" s="431">
        <v>1.29</v>
      </c>
      <c r="Y20" s="428">
        <v>0</v>
      </c>
      <c r="Z20" s="428">
        <v>5.6689999999999987</v>
      </c>
      <c r="AA20" s="428">
        <v>7.9500000000000001E-2</v>
      </c>
      <c r="AB20" s="430">
        <v>1.9840000000000002</v>
      </c>
      <c r="AC20" s="348">
        <f t="shared" si="0"/>
        <v>571.48376000000007</v>
      </c>
      <c r="AD20" s="349">
        <f>'MENSUAL DEIXALLERIES'!R58</f>
        <v>5649</v>
      </c>
      <c r="AE20" s="345"/>
    </row>
    <row r="21" spans="1:35" s="346" customFormat="1" ht="16.899999999999999" customHeight="1" x14ac:dyDescent="0.2">
      <c r="A21" s="347" t="s">
        <v>77</v>
      </c>
      <c r="B21" s="427">
        <v>2.88</v>
      </c>
      <c r="C21" s="428">
        <v>325.28000000000003</v>
      </c>
      <c r="D21" s="428">
        <v>19.400000000000002</v>
      </c>
      <c r="E21" s="428">
        <v>150.95999999999998</v>
      </c>
      <c r="F21" s="428">
        <v>500.00999999999993</v>
      </c>
      <c r="G21" s="429">
        <v>677.61999999999989</v>
      </c>
      <c r="H21" s="427">
        <v>14.848999999999998</v>
      </c>
      <c r="I21" s="430">
        <v>1.8058299999999998</v>
      </c>
      <c r="J21" s="431">
        <v>0.76768000000000003</v>
      </c>
      <c r="K21" s="428">
        <v>0.33999999999999997</v>
      </c>
      <c r="L21" s="429">
        <v>0.27200000000000002</v>
      </c>
      <c r="M21" s="427">
        <v>1.2229999999999999</v>
      </c>
      <c r="N21" s="430">
        <v>2.0499999999999998</v>
      </c>
      <c r="O21" s="431">
        <v>0.08</v>
      </c>
      <c r="P21" s="431"/>
      <c r="Q21" s="428">
        <v>0</v>
      </c>
      <c r="R21" s="429">
        <v>0</v>
      </c>
      <c r="S21" s="427">
        <v>0.82199999999999995</v>
      </c>
      <c r="T21" s="428">
        <v>0.245</v>
      </c>
      <c r="U21" s="428">
        <v>0.68200000000000005</v>
      </c>
      <c r="V21" s="428">
        <v>9.0499999999999989</v>
      </c>
      <c r="W21" s="430">
        <v>0</v>
      </c>
      <c r="X21" s="431">
        <v>5.1099999999999994</v>
      </c>
      <c r="Y21" s="428">
        <v>0.43099999999999999</v>
      </c>
      <c r="Z21" s="428">
        <v>11.814</v>
      </c>
      <c r="AA21" s="428">
        <v>0.186</v>
      </c>
      <c r="AB21" s="430">
        <v>0.67799999999999994</v>
      </c>
      <c r="AC21" s="348">
        <f t="shared" si="0"/>
        <v>1726.5555099999992</v>
      </c>
      <c r="AD21" s="349">
        <f>'MENSUAL DEIXALLERIES'!S58</f>
        <v>8030</v>
      </c>
      <c r="AE21" s="345"/>
    </row>
    <row r="22" spans="1:35" s="346" customFormat="1" ht="16.899999999999999" customHeight="1" x14ac:dyDescent="0.2">
      <c r="A22" s="347" t="s">
        <v>76</v>
      </c>
      <c r="B22" s="427">
        <v>16.439999999999998</v>
      </c>
      <c r="C22" s="428">
        <v>231.75999999999996</v>
      </c>
      <c r="D22" s="428">
        <v>29.599999999999998</v>
      </c>
      <c r="E22" s="428">
        <v>32.339999999999996</v>
      </c>
      <c r="F22" s="428">
        <v>293.83</v>
      </c>
      <c r="G22" s="429">
        <v>328.84000000000003</v>
      </c>
      <c r="H22" s="427">
        <v>10.129999999999999</v>
      </c>
      <c r="I22" s="430">
        <v>1.17597</v>
      </c>
      <c r="J22" s="431">
        <v>0.50727999999999995</v>
      </c>
      <c r="K22" s="428">
        <v>0.505</v>
      </c>
      <c r="L22" s="429">
        <v>0.501</v>
      </c>
      <c r="M22" s="427">
        <v>1.2829999999999999</v>
      </c>
      <c r="N22" s="430">
        <v>1.8969999999999998</v>
      </c>
      <c r="O22" s="431">
        <v>0.09</v>
      </c>
      <c r="P22" s="431"/>
      <c r="Q22" s="428">
        <v>0</v>
      </c>
      <c r="R22" s="429">
        <v>0</v>
      </c>
      <c r="S22" s="427">
        <v>8.3159999999999989</v>
      </c>
      <c r="T22" s="428">
        <v>6.644000000000001</v>
      </c>
      <c r="U22" s="428">
        <v>10.481</v>
      </c>
      <c r="V22" s="428">
        <v>16.079999999999998</v>
      </c>
      <c r="W22" s="430">
        <v>3.5060000000000002</v>
      </c>
      <c r="X22" s="431">
        <v>5.66</v>
      </c>
      <c r="Y22" s="428">
        <v>1.48</v>
      </c>
      <c r="Z22" s="428">
        <v>10.954000000000001</v>
      </c>
      <c r="AA22" s="428">
        <v>6.25E-2</v>
      </c>
      <c r="AB22" s="430">
        <v>1.6680000000000001</v>
      </c>
      <c r="AC22" s="348">
        <f t="shared" si="0"/>
        <v>1013.75075</v>
      </c>
      <c r="AD22" s="349">
        <f>'MENSUAL DEIXALLERIES'!T58</f>
        <v>9472</v>
      </c>
      <c r="AE22" s="345"/>
    </row>
    <row r="23" spans="1:35" s="346" customFormat="1" ht="16.899999999999999" customHeight="1" x14ac:dyDescent="0.2">
      <c r="A23" s="350" t="s">
        <v>75</v>
      </c>
      <c r="B23" s="427">
        <v>7.4</v>
      </c>
      <c r="C23" s="428">
        <v>138.56</v>
      </c>
      <c r="D23" s="428">
        <v>26.48</v>
      </c>
      <c r="E23" s="428">
        <v>67.78</v>
      </c>
      <c r="F23" s="428">
        <v>343.54999999999995</v>
      </c>
      <c r="G23" s="429">
        <v>183.27999999999997</v>
      </c>
      <c r="H23" s="427">
        <v>10.824</v>
      </c>
      <c r="I23" s="430">
        <v>1.4037500000000003</v>
      </c>
      <c r="J23" s="431">
        <v>1.36944</v>
      </c>
      <c r="K23" s="428">
        <v>0.33799999999999997</v>
      </c>
      <c r="L23" s="429">
        <v>0.30499999999999999</v>
      </c>
      <c r="M23" s="427">
        <v>2.5010000000000003</v>
      </c>
      <c r="N23" s="430">
        <v>0.69</v>
      </c>
      <c r="O23" s="431">
        <v>0</v>
      </c>
      <c r="P23" s="431"/>
      <c r="Q23" s="428">
        <v>0</v>
      </c>
      <c r="R23" s="429">
        <v>0</v>
      </c>
      <c r="S23" s="427">
        <v>2.2650000000000001</v>
      </c>
      <c r="T23" s="428">
        <v>2.1459999999999999</v>
      </c>
      <c r="U23" s="428">
        <v>0.307</v>
      </c>
      <c r="V23" s="428">
        <v>7.86</v>
      </c>
      <c r="W23" s="430">
        <v>2.3809999999999998</v>
      </c>
      <c r="X23" s="431">
        <v>3.8</v>
      </c>
      <c r="Y23" s="428">
        <v>0</v>
      </c>
      <c r="Z23" s="428">
        <v>12.282999999999999</v>
      </c>
      <c r="AA23" s="428">
        <v>2.5999999999999999E-2</v>
      </c>
      <c r="AB23" s="430">
        <v>1.94</v>
      </c>
      <c r="AC23" s="348">
        <f t="shared" si="0"/>
        <v>817.48918999999978</v>
      </c>
      <c r="AD23" s="349">
        <f>'MENSUAL DEIXALLERIES'!U58</f>
        <v>9662</v>
      </c>
      <c r="AE23" s="345"/>
    </row>
    <row r="24" spans="1:35" s="346" customFormat="1" ht="16.899999999999999" customHeight="1" x14ac:dyDescent="0.2">
      <c r="A24" s="350" t="s">
        <v>74</v>
      </c>
      <c r="B24" s="427">
        <v>12.129999999999999</v>
      </c>
      <c r="C24" s="428">
        <v>188.36</v>
      </c>
      <c r="D24" s="428">
        <v>39.76</v>
      </c>
      <c r="E24" s="428">
        <v>145.21999999999997</v>
      </c>
      <c r="F24" s="428">
        <v>335.42</v>
      </c>
      <c r="G24" s="429">
        <v>272.63</v>
      </c>
      <c r="H24" s="427">
        <v>6.5980000000000008</v>
      </c>
      <c r="I24" s="430">
        <v>2.09788</v>
      </c>
      <c r="J24" s="431">
        <v>1.18764</v>
      </c>
      <c r="K24" s="428">
        <v>0.36499999999999999</v>
      </c>
      <c r="L24" s="429">
        <v>0.32700000000000001</v>
      </c>
      <c r="M24" s="427">
        <v>3.1339999999999999</v>
      </c>
      <c r="N24" s="430">
        <v>1.5</v>
      </c>
      <c r="O24" s="431">
        <v>0</v>
      </c>
      <c r="P24" s="431"/>
      <c r="Q24" s="428">
        <v>0</v>
      </c>
      <c r="R24" s="429">
        <v>0</v>
      </c>
      <c r="S24" s="427">
        <v>2.085</v>
      </c>
      <c r="T24" s="428">
        <v>2.5260000000000002</v>
      </c>
      <c r="U24" s="428">
        <v>1.415</v>
      </c>
      <c r="V24" s="428">
        <v>7.9699999999999989</v>
      </c>
      <c r="W24" s="430">
        <v>0.15</v>
      </c>
      <c r="X24" s="431">
        <v>3.67</v>
      </c>
      <c r="Y24" s="428">
        <v>0</v>
      </c>
      <c r="Z24" s="428">
        <v>15.017499999999997</v>
      </c>
      <c r="AA24" s="428">
        <v>7.0000000000000007E-2</v>
      </c>
      <c r="AB24" s="430">
        <v>0.81100000000000017</v>
      </c>
      <c r="AC24" s="348">
        <f t="shared" si="0"/>
        <v>1042.4440199999997</v>
      </c>
      <c r="AD24" s="349">
        <f>'MENSUAL DEIXALLERIES'!V58</f>
        <v>14586</v>
      </c>
      <c r="AE24" s="345"/>
    </row>
    <row r="25" spans="1:35" s="346" customFormat="1" ht="16.899999999999999" customHeight="1" x14ac:dyDescent="0.2">
      <c r="A25" s="347" t="s">
        <v>73</v>
      </c>
      <c r="B25" s="427">
        <v>0.5</v>
      </c>
      <c r="C25" s="428">
        <v>187.54</v>
      </c>
      <c r="D25" s="428">
        <v>22.4</v>
      </c>
      <c r="E25" s="428">
        <v>39.840000000000003</v>
      </c>
      <c r="F25" s="428">
        <v>227.61999999999998</v>
      </c>
      <c r="G25" s="429">
        <v>206.83000000000004</v>
      </c>
      <c r="H25" s="427">
        <v>10.177000000000001</v>
      </c>
      <c r="I25" s="430">
        <v>1.8027</v>
      </c>
      <c r="J25" s="431">
        <v>2.4639999999999999E-2</v>
      </c>
      <c r="K25" s="428">
        <v>0.33</v>
      </c>
      <c r="L25" s="429">
        <v>0.54600000000000004</v>
      </c>
      <c r="M25" s="427">
        <v>2.206</v>
      </c>
      <c r="N25" s="430">
        <v>1.49</v>
      </c>
      <c r="O25" s="431">
        <v>0</v>
      </c>
      <c r="P25" s="431"/>
      <c r="Q25" s="428">
        <v>0</v>
      </c>
      <c r="R25" s="429">
        <v>0</v>
      </c>
      <c r="S25" s="427">
        <v>2.5169999999999999</v>
      </c>
      <c r="T25" s="428">
        <v>4.141</v>
      </c>
      <c r="U25" s="428">
        <v>0.80199999999999994</v>
      </c>
      <c r="V25" s="428">
        <v>8.57</v>
      </c>
      <c r="W25" s="430">
        <v>0.63900000000000001</v>
      </c>
      <c r="X25" s="431">
        <v>2.99</v>
      </c>
      <c r="Y25" s="428">
        <v>0</v>
      </c>
      <c r="Z25" s="428">
        <v>8.5835000000000008</v>
      </c>
      <c r="AA25" s="428">
        <v>7.4999999999999997E-2</v>
      </c>
      <c r="AB25" s="430">
        <v>0.72899999999999998</v>
      </c>
      <c r="AC25" s="348">
        <f t="shared" si="0"/>
        <v>730.35284000000024</v>
      </c>
      <c r="AD25" s="349">
        <f>'MENSUAL DEIXALLERIES'!W58</f>
        <v>7400</v>
      </c>
      <c r="AE25" s="345"/>
    </row>
    <row r="26" spans="1:35" s="346" customFormat="1" ht="16.899999999999999" customHeight="1" x14ac:dyDescent="0.2">
      <c r="A26" s="347" t="s">
        <v>72</v>
      </c>
      <c r="B26" s="427">
        <v>12.52</v>
      </c>
      <c r="C26" s="428">
        <v>113.08000000000001</v>
      </c>
      <c r="D26" s="428">
        <v>23.66</v>
      </c>
      <c r="E26" s="428">
        <v>47.860000000000014</v>
      </c>
      <c r="F26" s="428">
        <v>274.72999999999996</v>
      </c>
      <c r="G26" s="429">
        <v>168.93</v>
      </c>
      <c r="H26" s="427">
        <v>6.6510000000000007</v>
      </c>
      <c r="I26" s="430">
        <v>2.2056</v>
      </c>
      <c r="J26" s="431">
        <v>1.6978200000000001</v>
      </c>
      <c r="K26" s="428">
        <v>0.13500000000000001</v>
      </c>
      <c r="L26" s="429">
        <v>0.32600000000000001</v>
      </c>
      <c r="M26" s="427">
        <v>0.56499999999999995</v>
      </c>
      <c r="N26" s="430">
        <v>1.2770000000000001</v>
      </c>
      <c r="O26" s="431">
        <v>0</v>
      </c>
      <c r="P26" s="431"/>
      <c r="Q26" s="428">
        <v>0</v>
      </c>
      <c r="R26" s="429">
        <v>0</v>
      </c>
      <c r="S26" s="427">
        <v>5.2029999999999994</v>
      </c>
      <c r="T26" s="428">
        <v>3.944</v>
      </c>
      <c r="U26" s="428">
        <v>5.4909999999999997</v>
      </c>
      <c r="V26" s="428">
        <v>5.28</v>
      </c>
      <c r="W26" s="430">
        <v>1.49</v>
      </c>
      <c r="X26" s="431">
        <v>3.0700000000000003</v>
      </c>
      <c r="Y26" s="428">
        <v>1.391</v>
      </c>
      <c r="Z26" s="428">
        <v>6.9759999999999991</v>
      </c>
      <c r="AA26" s="428">
        <v>0</v>
      </c>
      <c r="AB26" s="430">
        <v>2.387</v>
      </c>
      <c r="AC26" s="348">
        <f t="shared" si="0"/>
        <v>688.86941999999988</v>
      </c>
      <c r="AD26" s="349">
        <f>'MENSUAL DEIXALLERIES'!X58</f>
        <v>5010</v>
      </c>
      <c r="AE26" s="345"/>
    </row>
    <row r="27" spans="1:35" ht="16.899999999999999" customHeight="1" x14ac:dyDescent="0.2">
      <c r="A27" s="351" t="s">
        <v>71</v>
      </c>
      <c r="B27" s="427">
        <v>20.010000000000002</v>
      </c>
      <c r="C27" s="428">
        <v>230.98000000000002</v>
      </c>
      <c r="D27" s="428">
        <v>47.500000000000007</v>
      </c>
      <c r="E27" s="428">
        <v>293.16000000000003</v>
      </c>
      <c r="F27" s="428">
        <v>482.89999999999992</v>
      </c>
      <c r="G27" s="429">
        <v>406.68999999999994</v>
      </c>
      <c r="H27" s="427">
        <v>13.033999999999997</v>
      </c>
      <c r="I27" s="430">
        <v>1.7196600000000002</v>
      </c>
      <c r="J27" s="431">
        <v>0</v>
      </c>
      <c r="K27" s="428">
        <v>0.39600000000000002</v>
      </c>
      <c r="L27" s="429">
        <v>0.22</v>
      </c>
      <c r="M27" s="427">
        <v>1.931</v>
      </c>
      <c r="N27" s="430">
        <v>3.63</v>
      </c>
      <c r="O27" s="431">
        <v>0</v>
      </c>
      <c r="P27" s="431"/>
      <c r="Q27" s="428">
        <v>0</v>
      </c>
      <c r="R27" s="429">
        <v>0</v>
      </c>
      <c r="S27" s="427">
        <v>4.782</v>
      </c>
      <c r="T27" s="428">
        <v>3.5339999999999998</v>
      </c>
      <c r="U27" s="428">
        <v>3.6579999999999999</v>
      </c>
      <c r="V27" s="428">
        <v>8.3300000000000018</v>
      </c>
      <c r="W27" s="430">
        <v>0</v>
      </c>
      <c r="X27" s="431">
        <v>2.25</v>
      </c>
      <c r="Y27" s="428">
        <v>0</v>
      </c>
      <c r="Z27" s="428">
        <v>13.913500000000001</v>
      </c>
      <c r="AA27" s="428">
        <v>4.2999999999999997E-2</v>
      </c>
      <c r="AB27" s="430">
        <v>3.5429999999999993</v>
      </c>
      <c r="AC27" s="348">
        <f t="shared" si="0"/>
        <v>1542.2241599999998</v>
      </c>
      <c r="AD27" s="349">
        <f>'MENSUAL DEIXALLERIES'!Y58</f>
        <v>15122</v>
      </c>
      <c r="AI27" s="346"/>
    </row>
    <row r="28" spans="1:35" ht="16.899999999999999" customHeight="1" thickBot="1" x14ac:dyDescent="0.25">
      <c r="A28" s="352" t="s">
        <v>70</v>
      </c>
      <c r="B28" s="432">
        <v>18.440000000000001</v>
      </c>
      <c r="C28" s="433">
        <v>163.35999999999999</v>
      </c>
      <c r="D28" s="433">
        <v>30.78</v>
      </c>
      <c r="E28" s="433">
        <v>41.37</v>
      </c>
      <c r="F28" s="433">
        <v>250.36</v>
      </c>
      <c r="G28" s="434">
        <v>227.02</v>
      </c>
      <c r="H28" s="432">
        <v>7.8109999999999991</v>
      </c>
      <c r="I28" s="435">
        <v>1.5393899999999998</v>
      </c>
      <c r="J28" s="436">
        <v>0.17793</v>
      </c>
      <c r="K28" s="433">
        <v>0.38800000000000001</v>
      </c>
      <c r="L28" s="434">
        <v>0.32600000000000001</v>
      </c>
      <c r="M28" s="432">
        <v>0.8819999999999999</v>
      </c>
      <c r="N28" s="435">
        <v>0.7</v>
      </c>
      <c r="O28" s="436">
        <v>0</v>
      </c>
      <c r="P28" s="436"/>
      <c r="Q28" s="433">
        <v>0</v>
      </c>
      <c r="R28" s="434">
        <v>0</v>
      </c>
      <c r="S28" s="432">
        <v>11.761000000000001</v>
      </c>
      <c r="T28" s="433">
        <v>4.6120000000000001</v>
      </c>
      <c r="U28" s="433">
        <v>10.72</v>
      </c>
      <c r="V28" s="433">
        <v>10.23</v>
      </c>
      <c r="W28" s="435">
        <v>2.8169999999999993</v>
      </c>
      <c r="X28" s="436">
        <v>1.82</v>
      </c>
      <c r="Y28" s="433">
        <v>0.86699999999999999</v>
      </c>
      <c r="Z28" s="433">
        <v>12.572000000000001</v>
      </c>
      <c r="AA28" s="433">
        <v>6.5000000000000002E-2</v>
      </c>
      <c r="AB28" s="435">
        <v>0.80400000000000005</v>
      </c>
      <c r="AC28" s="353">
        <f t="shared" si="0"/>
        <v>799.42232000000013</v>
      </c>
      <c r="AD28" s="354">
        <f>'MENSUAL DEIXALLERIES'!Z58</f>
        <v>13972</v>
      </c>
      <c r="AI28" s="346"/>
    </row>
    <row r="29" spans="1:35" ht="16.899999999999999" customHeight="1" thickBot="1" x14ac:dyDescent="0.25">
      <c r="A29" s="355" t="s">
        <v>69</v>
      </c>
      <c r="B29" s="356">
        <f t="shared" ref="B29:AB29" si="1">SUM(B4:B28)</f>
        <v>282.82000000000005</v>
      </c>
      <c r="C29" s="357">
        <f t="shared" si="1"/>
        <v>6509.2789999999995</v>
      </c>
      <c r="D29" s="356">
        <f t="shared" si="1"/>
        <v>886.64</v>
      </c>
      <c r="E29" s="357">
        <f t="shared" si="1"/>
        <v>2367.2750000000001</v>
      </c>
      <c r="F29" s="356">
        <f t="shared" si="1"/>
        <v>9346.69</v>
      </c>
      <c r="G29" s="358">
        <f t="shared" si="1"/>
        <v>7883.78</v>
      </c>
      <c r="H29" s="356">
        <f t="shared" si="1"/>
        <v>316.14500000000004</v>
      </c>
      <c r="I29" s="356">
        <f t="shared" si="1"/>
        <v>39.74743999999999</v>
      </c>
      <c r="J29" s="356">
        <f t="shared" si="1"/>
        <v>22.795549999999999</v>
      </c>
      <c r="K29" s="356">
        <f t="shared" si="1"/>
        <v>10.323</v>
      </c>
      <c r="L29" s="359">
        <f t="shared" si="1"/>
        <v>13.428000000000001</v>
      </c>
      <c r="M29" s="356">
        <f t="shared" si="1"/>
        <v>68.010999999999996</v>
      </c>
      <c r="N29" s="356">
        <f t="shared" si="1"/>
        <v>38.400000000000006</v>
      </c>
      <c r="O29" s="356">
        <f t="shared" si="1"/>
        <v>1.1399999999999999</v>
      </c>
      <c r="P29" s="356">
        <f>[1]resum!$Q$29</f>
        <v>373.64</v>
      </c>
      <c r="Q29" s="356">
        <f t="shared" si="1"/>
        <v>1.35</v>
      </c>
      <c r="R29" s="356">
        <f t="shared" si="1"/>
        <v>0</v>
      </c>
      <c r="S29" s="356">
        <f t="shared" si="1"/>
        <v>138.50200000000001</v>
      </c>
      <c r="T29" s="356">
        <f t="shared" si="1"/>
        <v>100.26000000000002</v>
      </c>
      <c r="U29" s="356">
        <f t="shared" si="1"/>
        <v>117.29700000000001</v>
      </c>
      <c r="V29" s="356">
        <f t="shared" si="1"/>
        <v>208.35000000000002</v>
      </c>
      <c r="W29" s="356">
        <f t="shared" si="1"/>
        <v>46.866000000000007</v>
      </c>
      <c r="X29" s="356">
        <f t="shared" si="1"/>
        <v>83.763999999999982</v>
      </c>
      <c r="Y29" s="356">
        <f t="shared" si="1"/>
        <v>15.139999999999997</v>
      </c>
      <c r="Z29" s="356">
        <f t="shared" si="1"/>
        <v>308.09480000000002</v>
      </c>
      <c r="AA29" s="356">
        <f t="shared" si="1"/>
        <v>2.0105</v>
      </c>
      <c r="AB29" s="356">
        <f t="shared" si="1"/>
        <v>48.068999999999996</v>
      </c>
      <c r="AC29" s="338">
        <f t="shared" si="0"/>
        <v>29229.817289999988</v>
      </c>
      <c r="AD29" s="360">
        <f>SUM(AD4:AD28)</f>
        <v>277408</v>
      </c>
    </row>
    <row r="30" spans="1:35" ht="19.899999999999999" customHeight="1" thickBot="1" x14ac:dyDescent="0.25">
      <c r="B30" s="361"/>
      <c r="C30" s="361"/>
      <c r="D30" s="361"/>
      <c r="E30" s="361"/>
      <c r="F30" s="361"/>
      <c r="G30" s="361"/>
      <c r="H30" s="415">
        <f>SUM(H29:I29)</f>
        <v>355.89244000000002</v>
      </c>
      <c r="I30" s="416"/>
      <c r="J30" s="361"/>
      <c r="K30" s="361"/>
      <c r="L30" s="361"/>
      <c r="M30" s="415">
        <f>SUM(M29:N29)</f>
        <v>106.411</v>
      </c>
      <c r="N30" s="416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415">
        <f>SUM(Z29:AA29)</f>
        <v>310.1053</v>
      </c>
      <c r="AA30" s="416"/>
      <c r="AB30" s="361"/>
    </row>
    <row r="31" spans="1:35" x14ac:dyDescent="0.2"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</row>
  </sheetData>
  <sheetProtection sheet="1" objects="1" scenarios="1"/>
  <mergeCells count="5">
    <mergeCell ref="H2:I2"/>
    <mergeCell ref="M2:N2"/>
    <mergeCell ref="H30:I30"/>
    <mergeCell ref="M30:N30"/>
    <mergeCell ref="Z30:AA30"/>
  </mergeCells>
  <pageMargins left="0.15748031496062992" right="0.19685039370078741" top="1.1023622047244095" bottom="0.59055118110236227" header="0.31496062992125984" footer="0"/>
  <pageSetup paperSize="9" scale="66" fitToHeight="2" orientation="landscape" horizontalDpi="300" verticalDpi="300" r:id="rId1"/>
  <headerFooter alignWithMargins="0">
    <oddHeader>&amp;L&amp;G&amp;C&amp;F&amp;R&amp;G</oddHeader>
    <oddFooter>&amp;C&amp;A</oddFooter>
  </headerFooter>
  <ignoredErrors>
    <ignoredError sqref="AC29" formula="1"/>
  </ignoredError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"/>
  <sheetViews>
    <sheetView workbookViewId="0">
      <selection activeCell="I11" sqref="I11"/>
    </sheetView>
  </sheetViews>
  <sheetFormatPr baseColWidth="10" defaultRowHeight="15" x14ac:dyDescent="0.25"/>
  <cols>
    <col min="2" max="2" width="14.140625" customWidth="1"/>
    <col min="3" max="3" width="14.28515625" customWidth="1"/>
    <col min="4" max="4" width="15.140625" customWidth="1"/>
  </cols>
  <sheetData>
    <row r="1" spans="1:8" ht="15.75" thickBot="1" x14ac:dyDescent="0.3"/>
    <row r="2" spans="1:8" ht="45.75" thickBot="1" x14ac:dyDescent="0.3">
      <c r="B2" s="224" t="s">
        <v>125</v>
      </c>
      <c r="C2" s="225" t="s">
        <v>126</v>
      </c>
      <c r="D2" s="310" t="s">
        <v>127</v>
      </c>
    </row>
    <row r="3" spans="1:8" x14ac:dyDescent="0.25">
      <c r="A3" s="221"/>
    </row>
    <row r="4" spans="1:8" x14ac:dyDescent="0.25">
      <c r="A4" s="221">
        <v>2017</v>
      </c>
      <c r="B4" s="311">
        <v>23278.030299999999</v>
      </c>
      <c r="C4" s="223">
        <v>248807</v>
      </c>
      <c r="D4" s="223">
        <v>4779</v>
      </c>
      <c r="F4" s="237"/>
      <c r="G4" s="237"/>
      <c r="H4" s="368"/>
    </row>
    <row r="5" spans="1:8" x14ac:dyDescent="0.25">
      <c r="A5" s="221">
        <v>2018</v>
      </c>
      <c r="B5" s="312">
        <v>27048.204610000001</v>
      </c>
      <c r="C5" s="255">
        <v>254435</v>
      </c>
      <c r="D5" s="255">
        <v>4237</v>
      </c>
      <c r="F5" s="238"/>
      <c r="G5" s="237"/>
      <c r="H5" s="368"/>
    </row>
    <row r="6" spans="1:8" x14ac:dyDescent="0.25">
      <c r="A6" s="221">
        <v>2019</v>
      </c>
      <c r="B6" s="312">
        <v>28817.277470000005</v>
      </c>
      <c r="C6" s="255">
        <v>264421</v>
      </c>
      <c r="D6" s="255">
        <v>4276</v>
      </c>
      <c r="F6" s="238"/>
      <c r="G6" s="237"/>
      <c r="H6" s="368"/>
    </row>
    <row r="7" spans="1:8" x14ac:dyDescent="0.25">
      <c r="A7" s="221">
        <v>2020</v>
      </c>
      <c r="B7" s="312">
        <v>30472.781133635759</v>
      </c>
      <c r="C7" s="254">
        <v>273716</v>
      </c>
      <c r="D7" s="254">
        <v>4956</v>
      </c>
      <c r="F7" s="238"/>
      <c r="G7" s="237"/>
      <c r="H7" s="368"/>
    </row>
    <row r="8" spans="1:8" ht="15.75" thickBot="1" x14ac:dyDescent="0.3">
      <c r="A8" s="221">
        <v>2021</v>
      </c>
      <c r="B8" s="322">
        <f>DEIXALLERIES!AC29</f>
        <v>29229.817289999988</v>
      </c>
      <c r="C8" s="313">
        <f>DEIXALLERIES!AD29</f>
        <v>277408</v>
      </c>
      <c r="D8" s="313">
        <f>'MENSUAL DEIXALLERIES'!I76</f>
        <v>6052</v>
      </c>
      <c r="F8" s="238"/>
    </row>
    <row r="9" spans="1:8" x14ac:dyDescent="0.25">
      <c r="A9" s="264" t="s">
        <v>134</v>
      </c>
      <c r="B9" s="258">
        <f>(B8/B7)-1</f>
        <v>-4.078931418123144E-2</v>
      </c>
      <c r="C9" s="258">
        <f t="shared" ref="C9:D9" si="0">(C8/C7)-1</f>
        <v>1.3488433266597433E-2</v>
      </c>
      <c r="D9" s="258">
        <f t="shared" si="0"/>
        <v>0.2211460855528653</v>
      </c>
    </row>
  </sheetData>
  <sheetProtection sheet="1" objects="1" scenarios="1"/>
  <pageMargins left="0.70866141732283472" right="0.70866141732283472" top="0.86" bottom="0.56000000000000005" header="0.19685039370078741" footer="0.31496062992125984"/>
  <pageSetup paperSize="9" scale="80" orientation="landscape" r:id="rId1"/>
  <headerFooter>
    <oddHeader>&amp;L&amp;G&amp;C&amp;F&amp;R&amp;G</oddHeader>
    <oddFooter>&amp;L&amp;D&amp;C&amp;A&amp;R&amp;P de &amp;N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0"/>
  <sheetViews>
    <sheetView workbookViewId="0">
      <selection activeCell="F1" sqref="F1:F40"/>
    </sheetView>
  </sheetViews>
  <sheetFormatPr baseColWidth="10" defaultRowHeight="15" x14ac:dyDescent="0.25"/>
  <cols>
    <col min="3" max="3" width="26.140625" bestFit="1" customWidth="1"/>
    <col min="8" max="8" width="15.85546875" customWidth="1"/>
    <col min="9" max="9" width="16.28515625" customWidth="1"/>
  </cols>
  <sheetData>
    <row r="1" spans="3:9" x14ac:dyDescent="0.25">
      <c r="C1" t="s">
        <v>39</v>
      </c>
      <c r="D1" s="369">
        <v>29180</v>
      </c>
      <c r="F1" s="368">
        <f>SUM(D1:E1)</f>
        <v>29180</v>
      </c>
      <c r="G1" s="367"/>
    </row>
    <row r="2" spans="3:9" x14ac:dyDescent="0.25">
      <c r="C2" t="s">
        <v>0</v>
      </c>
      <c r="D2" s="369"/>
      <c r="E2" s="367"/>
      <c r="F2" s="368">
        <f t="shared" ref="F2:F40" si="0">SUM(D2:E2)</f>
        <v>0</v>
      </c>
      <c r="G2" s="367"/>
    </row>
    <row r="3" spans="3:9" x14ac:dyDescent="0.25">
      <c r="C3" t="s">
        <v>1</v>
      </c>
      <c r="E3" s="367"/>
      <c r="F3" s="368">
        <f t="shared" si="0"/>
        <v>0</v>
      </c>
      <c r="H3" s="367"/>
    </row>
    <row r="4" spans="3:9" x14ac:dyDescent="0.25">
      <c r="C4" t="s">
        <v>2</v>
      </c>
      <c r="D4" s="369">
        <v>4743.58</v>
      </c>
      <c r="F4" s="368">
        <f t="shared" si="0"/>
        <v>4743.58</v>
      </c>
      <c r="H4" s="367"/>
    </row>
    <row r="5" spans="3:9" x14ac:dyDescent="0.25">
      <c r="C5" t="s">
        <v>3</v>
      </c>
      <c r="E5" s="369"/>
      <c r="F5" s="368">
        <f t="shared" si="0"/>
        <v>0</v>
      </c>
      <c r="H5" s="367"/>
    </row>
    <row r="6" spans="3:9" x14ac:dyDescent="0.25">
      <c r="C6" t="s">
        <v>4</v>
      </c>
      <c r="D6" s="369">
        <v>76980</v>
      </c>
      <c r="E6" s="367"/>
      <c r="F6" s="368">
        <f t="shared" si="0"/>
        <v>76980</v>
      </c>
      <c r="H6" s="367"/>
    </row>
    <row r="7" spans="3:9" x14ac:dyDescent="0.25">
      <c r="C7" t="s">
        <v>7</v>
      </c>
      <c r="D7" s="369">
        <v>5737.71</v>
      </c>
      <c r="F7" s="368">
        <f t="shared" si="0"/>
        <v>5737.71</v>
      </c>
      <c r="H7" s="367"/>
    </row>
    <row r="8" spans="3:9" x14ac:dyDescent="0.25">
      <c r="C8" t="s">
        <v>40</v>
      </c>
      <c r="F8" s="368">
        <f t="shared" si="0"/>
        <v>0</v>
      </c>
      <c r="H8" s="367"/>
    </row>
    <row r="9" spans="3:9" x14ac:dyDescent="0.25">
      <c r="C9" t="s">
        <v>41</v>
      </c>
      <c r="D9" s="369"/>
      <c r="E9" s="367"/>
      <c r="F9" s="368">
        <f t="shared" si="0"/>
        <v>0</v>
      </c>
      <c r="H9" s="367"/>
    </row>
    <row r="10" spans="3:9" x14ac:dyDescent="0.25">
      <c r="C10" t="s">
        <v>9</v>
      </c>
      <c r="D10" s="305"/>
      <c r="E10" s="369"/>
      <c r="F10" s="368">
        <f t="shared" si="0"/>
        <v>0</v>
      </c>
      <c r="H10" s="367"/>
    </row>
    <row r="11" spans="3:9" x14ac:dyDescent="0.25">
      <c r="C11" t="s">
        <v>10</v>
      </c>
      <c r="E11" s="367"/>
      <c r="F11" s="368">
        <f t="shared" si="0"/>
        <v>0</v>
      </c>
      <c r="H11" s="368"/>
      <c r="I11" s="367"/>
    </row>
    <row r="12" spans="3:9" x14ac:dyDescent="0.25">
      <c r="C12" t="s">
        <v>42</v>
      </c>
      <c r="D12" s="369">
        <v>29360</v>
      </c>
      <c r="E12" s="369"/>
      <c r="F12" s="368">
        <f t="shared" si="0"/>
        <v>29360</v>
      </c>
      <c r="H12" s="368"/>
      <c r="I12" s="367"/>
    </row>
    <row r="13" spans="3:9" x14ac:dyDescent="0.25">
      <c r="C13" t="s">
        <v>11</v>
      </c>
      <c r="F13" s="368">
        <f t="shared" si="0"/>
        <v>0</v>
      </c>
      <c r="H13" s="368"/>
      <c r="I13" s="367"/>
    </row>
    <row r="14" spans="3:9" x14ac:dyDescent="0.25">
      <c r="C14" t="s">
        <v>12</v>
      </c>
      <c r="D14" s="369"/>
      <c r="E14" s="367"/>
      <c r="F14" s="368">
        <f t="shared" si="0"/>
        <v>0</v>
      </c>
      <c r="G14" s="369"/>
      <c r="H14" s="368"/>
      <c r="I14" s="367"/>
    </row>
    <row r="15" spans="3:9" x14ac:dyDescent="0.25">
      <c r="C15" t="s">
        <v>13</v>
      </c>
      <c r="F15" s="368">
        <f t="shared" si="0"/>
        <v>0</v>
      </c>
      <c r="H15" s="368"/>
    </row>
    <row r="16" spans="3:9" x14ac:dyDescent="0.25">
      <c r="C16" t="s">
        <v>14</v>
      </c>
      <c r="D16" s="369">
        <v>54840</v>
      </c>
      <c r="E16" s="367"/>
      <c r="F16" s="368">
        <f t="shared" si="0"/>
        <v>54840</v>
      </c>
      <c r="G16" s="306"/>
      <c r="H16" s="368"/>
    </row>
    <row r="17" spans="3:8" x14ac:dyDescent="0.25">
      <c r="C17" t="s">
        <v>15</v>
      </c>
      <c r="D17" s="369"/>
      <c r="E17" s="369"/>
      <c r="F17" s="368">
        <f t="shared" si="0"/>
        <v>0</v>
      </c>
      <c r="H17" s="368"/>
    </row>
    <row r="18" spans="3:8" x14ac:dyDescent="0.25">
      <c r="C18" t="s">
        <v>16</v>
      </c>
      <c r="D18" s="306">
        <v>26780</v>
      </c>
      <c r="E18" s="369">
        <v>9620</v>
      </c>
      <c r="F18" s="368">
        <f t="shared" si="0"/>
        <v>36400</v>
      </c>
      <c r="G18" s="305"/>
      <c r="H18" s="368"/>
    </row>
    <row r="19" spans="3:8" x14ac:dyDescent="0.25">
      <c r="C19" t="s">
        <v>17</v>
      </c>
      <c r="F19" s="368">
        <f t="shared" si="0"/>
        <v>0</v>
      </c>
      <c r="H19" s="368"/>
    </row>
    <row r="20" spans="3:8" x14ac:dyDescent="0.25">
      <c r="C20" t="s">
        <v>18</v>
      </c>
      <c r="D20" s="369">
        <v>4092.05</v>
      </c>
      <c r="F20" s="368">
        <f t="shared" si="0"/>
        <v>4092.05</v>
      </c>
      <c r="H20" s="368"/>
    </row>
    <row r="21" spans="3:8" x14ac:dyDescent="0.25">
      <c r="C21" t="s">
        <v>19</v>
      </c>
      <c r="D21" s="369"/>
      <c r="E21" s="367"/>
      <c r="F21" s="368">
        <f t="shared" si="0"/>
        <v>0</v>
      </c>
      <c r="H21" s="368"/>
    </row>
    <row r="22" spans="3:8" x14ac:dyDescent="0.25">
      <c r="C22" t="s">
        <v>43</v>
      </c>
      <c r="E22" s="367"/>
      <c r="F22" s="368">
        <f t="shared" si="0"/>
        <v>0</v>
      </c>
      <c r="H22" s="368"/>
    </row>
    <row r="23" spans="3:8" x14ac:dyDescent="0.25">
      <c r="C23" t="s">
        <v>44</v>
      </c>
      <c r="D23" s="369">
        <v>37580</v>
      </c>
      <c r="E23" s="369">
        <v>47350</v>
      </c>
      <c r="F23" s="368">
        <f t="shared" si="0"/>
        <v>84930</v>
      </c>
      <c r="H23" s="368"/>
    </row>
    <row r="24" spans="3:8" x14ac:dyDescent="0.25">
      <c r="C24" t="s">
        <v>20</v>
      </c>
      <c r="D24" s="369"/>
      <c r="E24" s="367"/>
      <c r="F24" s="368">
        <f t="shared" si="0"/>
        <v>0</v>
      </c>
      <c r="H24" s="368"/>
    </row>
    <row r="25" spans="3:8" x14ac:dyDescent="0.25">
      <c r="C25" t="s">
        <v>45</v>
      </c>
      <c r="D25" s="369">
        <v>35120</v>
      </c>
      <c r="F25" s="368">
        <f t="shared" si="0"/>
        <v>35120</v>
      </c>
      <c r="H25" s="368"/>
    </row>
    <row r="26" spans="3:8" x14ac:dyDescent="0.25">
      <c r="C26" t="s">
        <v>46</v>
      </c>
      <c r="F26" s="368">
        <f t="shared" si="0"/>
        <v>0</v>
      </c>
      <c r="H26" s="368"/>
    </row>
    <row r="27" spans="3:8" x14ac:dyDescent="0.25">
      <c r="C27" t="s">
        <v>47</v>
      </c>
      <c r="D27" s="369"/>
      <c r="E27" s="367"/>
      <c r="F27" s="368">
        <f t="shared" si="0"/>
        <v>0</v>
      </c>
      <c r="H27" s="368"/>
    </row>
    <row r="28" spans="3:8" x14ac:dyDescent="0.25">
      <c r="C28" t="s">
        <v>48</v>
      </c>
      <c r="D28" s="367">
        <v>626.66</v>
      </c>
      <c r="F28" s="368">
        <f t="shared" si="0"/>
        <v>626.66</v>
      </c>
      <c r="H28" s="368"/>
    </row>
    <row r="29" spans="3:8" x14ac:dyDescent="0.25">
      <c r="C29" t="s">
        <v>50</v>
      </c>
      <c r="D29" s="369">
        <v>63500</v>
      </c>
      <c r="F29" s="368">
        <f t="shared" si="0"/>
        <v>63500</v>
      </c>
      <c r="H29" s="368"/>
    </row>
    <row r="30" spans="3:8" x14ac:dyDescent="0.25">
      <c r="C30" t="s">
        <v>51</v>
      </c>
      <c r="D30" s="369">
        <v>8520</v>
      </c>
      <c r="E30" s="367"/>
      <c r="F30" s="368">
        <f t="shared" si="0"/>
        <v>8520</v>
      </c>
      <c r="H30" s="368"/>
    </row>
    <row r="31" spans="3:8" x14ac:dyDescent="0.25">
      <c r="C31" t="s">
        <v>52</v>
      </c>
      <c r="D31" s="369"/>
      <c r="E31" s="367"/>
      <c r="F31" s="368">
        <f t="shared" si="0"/>
        <v>0</v>
      </c>
      <c r="H31" s="368"/>
    </row>
    <row r="32" spans="3:8" x14ac:dyDescent="0.25">
      <c r="C32" t="s">
        <v>21</v>
      </c>
      <c r="F32" s="368">
        <f t="shared" si="0"/>
        <v>0</v>
      </c>
      <c r="H32" s="368"/>
    </row>
    <row r="33" spans="3:8" x14ac:dyDescent="0.25">
      <c r="C33" t="s">
        <v>22</v>
      </c>
      <c r="D33" s="369">
        <v>10635.67</v>
      </c>
      <c r="E33" s="367"/>
      <c r="F33" s="368">
        <f t="shared" si="0"/>
        <v>10635.67</v>
      </c>
      <c r="H33" s="368"/>
    </row>
    <row r="34" spans="3:8" x14ac:dyDescent="0.25">
      <c r="C34" t="s">
        <v>23</v>
      </c>
      <c r="E34" s="367"/>
      <c r="F34" s="368">
        <f t="shared" si="0"/>
        <v>0</v>
      </c>
      <c r="H34" s="368"/>
    </row>
    <row r="35" spans="3:8" x14ac:dyDescent="0.25">
      <c r="C35" t="s">
        <v>24</v>
      </c>
      <c r="D35" s="369">
        <v>2684.33</v>
      </c>
      <c r="E35" s="367"/>
      <c r="F35" s="368">
        <f t="shared" si="0"/>
        <v>2684.33</v>
      </c>
      <c r="H35" s="368"/>
    </row>
    <row r="36" spans="3:8" x14ac:dyDescent="0.25">
      <c r="C36" t="s">
        <v>25</v>
      </c>
      <c r="E36" s="367"/>
      <c r="F36" s="368">
        <f t="shared" si="0"/>
        <v>0</v>
      </c>
      <c r="H36" s="368"/>
    </row>
    <row r="37" spans="3:8" x14ac:dyDescent="0.25">
      <c r="C37" t="s">
        <v>5</v>
      </c>
      <c r="D37" s="369"/>
      <c r="F37" s="368">
        <f t="shared" si="0"/>
        <v>0</v>
      </c>
      <c r="H37" s="368"/>
    </row>
    <row r="38" spans="3:8" x14ac:dyDescent="0.25">
      <c r="C38" t="s">
        <v>6</v>
      </c>
      <c r="D38" s="369">
        <v>29180</v>
      </c>
      <c r="F38" s="368">
        <f t="shared" si="0"/>
        <v>29180</v>
      </c>
      <c r="H38" s="368"/>
    </row>
    <row r="39" spans="3:8" x14ac:dyDescent="0.25">
      <c r="C39" t="s">
        <v>8</v>
      </c>
      <c r="D39" s="367"/>
      <c r="F39" s="368">
        <f t="shared" si="0"/>
        <v>0</v>
      </c>
      <c r="H39" s="368"/>
    </row>
    <row r="40" spans="3:8" x14ac:dyDescent="0.25">
      <c r="C40" t="s">
        <v>49</v>
      </c>
      <c r="F40" s="368">
        <f t="shared" si="0"/>
        <v>0</v>
      </c>
      <c r="H40" s="36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showZeros="0" zoomScale="90" zoomScaleNormal="90" workbookViewId="0">
      <pane xSplit="2" topLeftCell="C1" activePane="topRight" state="frozen"/>
      <selection activeCell="B45" sqref="B45"/>
      <selection pane="topRight" activeCell="V49" sqref="V49"/>
    </sheetView>
  </sheetViews>
  <sheetFormatPr baseColWidth="10" defaultColWidth="11.42578125" defaultRowHeight="15" x14ac:dyDescent="0.25"/>
  <cols>
    <col min="1" max="1" width="5.7109375" style="3" customWidth="1"/>
    <col min="2" max="2" width="26.140625" style="20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136</v>
      </c>
    </row>
    <row r="3" spans="1:15" ht="15.75" thickBot="1" x14ac:dyDescent="0.3">
      <c r="B3" s="3"/>
      <c r="C3" s="4" t="s">
        <v>67</v>
      </c>
    </row>
    <row r="4" spans="1:15" ht="15.75" thickBot="1" x14ac:dyDescent="0.3">
      <c r="A4" s="8" t="s">
        <v>59</v>
      </c>
      <c r="B4" s="23" t="s">
        <v>57</v>
      </c>
      <c r="C4" s="43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9" t="s">
        <v>37</v>
      </c>
      <c r="O4" s="8" t="s">
        <v>38</v>
      </c>
    </row>
    <row r="5" spans="1:15" x14ac:dyDescent="0.25">
      <c r="A5" s="41">
        <v>1</v>
      </c>
      <c r="B5" s="46" t="s">
        <v>39</v>
      </c>
      <c r="C5" s="44">
        <v>15456.4</v>
      </c>
      <c r="D5" s="35">
        <v>13830.49</v>
      </c>
      <c r="E5" s="35">
        <v>16947.16</v>
      </c>
      <c r="F5" s="35">
        <v>15366.59</v>
      </c>
      <c r="G5" s="35">
        <v>14191.39</v>
      </c>
      <c r="H5" s="35">
        <v>17532.75</v>
      </c>
      <c r="I5" s="35">
        <v>16742.84</v>
      </c>
      <c r="J5" s="35">
        <v>15846.01</v>
      </c>
      <c r="K5" s="35">
        <v>14443.47</v>
      </c>
      <c r="L5" s="35">
        <v>14791.23</v>
      </c>
      <c r="M5" s="35"/>
      <c r="N5" s="36"/>
      <c r="O5" s="244">
        <f>SUM(Tabla2[[#This Row],[Gener]:[Desembre]])</f>
        <v>155148.32999999999</v>
      </c>
    </row>
    <row r="6" spans="1:15" x14ac:dyDescent="0.25">
      <c r="A6" s="13">
        <v>2</v>
      </c>
      <c r="B6" s="47" t="s">
        <v>0</v>
      </c>
      <c r="C6" s="228">
        <v>13040.73</v>
      </c>
      <c r="D6" s="11">
        <v>11860</v>
      </c>
      <c r="E6" s="11">
        <v>12180</v>
      </c>
      <c r="F6" s="11">
        <v>11720</v>
      </c>
      <c r="G6" s="11">
        <v>11900</v>
      </c>
      <c r="H6" s="11">
        <v>16071.56</v>
      </c>
      <c r="I6" s="11">
        <v>13548.14</v>
      </c>
      <c r="J6" s="11">
        <v>15740</v>
      </c>
      <c r="K6" s="35">
        <v>11240</v>
      </c>
      <c r="L6" s="11">
        <v>12820</v>
      </c>
      <c r="M6" s="11"/>
      <c r="N6" s="34"/>
      <c r="O6" s="245">
        <f>SUM(Tabla2[[#This Row],[Gener]:[Desembre]])</f>
        <v>130120.43</v>
      </c>
    </row>
    <row r="7" spans="1:15" x14ac:dyDescent="0.25">
      <c r="A7" s="13">
        <v>3</v>
      </c>
      <c r="B7" s="47" t="s">
        <v>1</v>
      </c>
      <c r="C7" s="228">
        <v>40456.129999999997</v>
      </c>
      <c r="D7" s="11">
        <v>35433.69</v>
      </c>
      <c r="E7" s="11">
        <v>40980</v>
      </c>
      <c r="F7" s="11">
        <v>37880</v>
      </c>
      <c r="G7" s="11">
        <v>41580</v>
      </c>
      <c r="H7" s="11">
        <v>39370</v>
      </c>
      <c r="I7" s="11">
        <v>40300</v>
      </c>
      <c r="J7" s="11">
        <v>38020</v>
      </c>
      <c r="K7" s="35">
        <v>39740</v>
      </c>
      <c r="L7" s="11">
        <v>41440</v>
      </c>
      <c r="M7" s="11"/>
      <c r="N7" s="34"/>
      <c r="O7" s="245">
        <f>SUM(Tabla2[[#This Row],[Gener]:[Desembre]])</f>
        <v>395199.82</v>
      </c>
    </row>
    <row r="8" spans="1:15" x14ac:dyDescent="0.25">
      <c r="A8" s="13">
        <v>4</v>
      </c>
      <c r="B8" s="47" t="s">
        <v>2</v>
      </c>
      <c r="C8" s="228">
        <v>1012.93</v>
      </c>
      <c r="D8" s="11">
        <v>914.39</v>
      </c>
      <c r="E8" s="11">
        <v>1062.56</v>
      </c>
      <c r="F8" s="11">
        <v>1327.29</v>
      </c>
      <c r="G8" s="11">
        <v>961.26</v>
      </c>
      <c r="H8" s="11">
        <v>1325.36</v>
      </c>
      <c r="I8" s="11">
        <v>1189.3800000000001</v>
      </c>
      <c r="J8" s="11">
        <v>1226.46</v>
      </c>
      <c r="K8" s="35">
        <v>1576.03</v>
      </c>
      <c r="L8" s="11">
        <v>1238.33</v>
      </c>
      <c r="M8" s="11"/>
      <c r="N8" s="34"/>
      <c r="O8" s="245">
        <f>SUM(Tabla2[[#This Row],[Gener]:[Desembre]])</f>
        <v>11833.990000000002</v>
      </c>
    </row>
    <row r="9" spans="1:15" x14ac:dyDescent="0.25">
      <c r="A9" s="13">
        <v>5</v>
      </c>
      <c r="B9" s="47" t="s">
        <v>3</v>
      </c>
      <c r="C9" s="228">
        <v>24190</v>
      </c>
      <c r="D9" s="11">
        <v>20020</v>
      </c>
      <c r="E9" s="11">
        <v>20720</v>
      </c>
      <c r="F9" s="11">
        <v>20220</v>
      </c>
      <c r="G9" s="11">
        <v>18940</v>
      </c>
      <c r="H9" s="11">
        <v>23000</v>
      </c>
      <c r="I9" s="11">
        <v>23340</v>
      </c>
      <c r="J9" s="11">
        <v>18000</v>
      </c>
      <c r="K9" s="35">
        <v>19840</v>
      </c>
      <c r="L9" s="11">
        <v>20500</v>
      </c>
      <c r="M9" s="11"/>
      <c r="N9" s="34"/>
      <c r="O9" s="245">
        <f>SUM(Tabla2[[#This Row],[Gener]:[Desembre]])</f>
        <v>208770</v>
      </c>
    </row>
    <row r="10" spans="1:15" x14ac:dyDescent="0.25">
      <c r="A10" s="13">
        <v>6</v>
      </c>
      <c r="B10" s="47" t="s">
        <v>4</v>
      </c>
      <c r="C10" s="228">
        <v>35071.06</v>
      </c>
      <c r="D10" s="11">
        <v>34190.18</v>
      </c>
      <c r="E10" s="11">
        <v>37458.35</v>
      </c>
      <c r="F10" s="11">
        <v>34340.49</v>
      </c>
      <c r="G10" s="11">
        <v>36372.21</v>
      </c>
      <c r="H10" s="11">
        <v>36249.910000000003</v>
      </c>
      <c r="I10" s="11">
        <v>39082.69</v>
      </c>
      <c r="J10" s="11">
        <v>31794.26</v>
      </c>
      <c r="K10" s="35">
        <v>34077.15</v>
      </c>
      <c r="L10" s="11">
        <v>33336.29</v>
      </c>
      <c r="M10" s="11"/>
      <c r="N10" s="34"/>
      <c r="O10" s="245">
        <f>SUM(Tabla2[[#This Row],[Gener]:[Desembre]])</f>
        <v>351972.58999999997</v>
      </c>
    </row>
    <row r="11" spans="1:15" x14ac:dyDescent="0.25">
      <c r="A11" s="13">
        <v>8</v>
      </c>
      <c r="B11" s="49" t="s">
        <v>7</v>
      </c>
      <c r="C11" s="228">
        <v>1467.88</v>
      </c>
      <c r="D11" s="11">
        <v>1390.58</v>
      </c>
      <c r="E11" s="11">
        <v>1491.14</v>
      </c>
      <c r="F11" s="11">
        <v>2318.56</v>
      </c>
      <c r="G11" s="11">
        <v>1710.12</v>
      </c>
      <c r="H11" s="11">
        <v>2607.39</v>
      </c>
      <c r="I11" s="11">
        <v>2103.9499999999998</v>
      </c>
      <c r="J11" s="11">
        <v>2243.7800000000002</v>
      </c>
      <c r="K11" s="35">
        <v>2665.15</v>
      </c>
      <c r="L11" s="11">
        <v>1913.84</v>
      </c>
      <c r="M11" s="11"/>
      <c r="N11" s="34"/>
      <c r="O11" s="246">
        <f>SUM(Tabla2[[#This Row],[Gener]:[Desembre]])</f>
        <v>19912.39</v>
      </c>
    </row>
    <row r="12" spans="1:15" x14ac:dyDescent="0.25">
      <c r="A12" s="13">
        <v>9</v>
      </c>
      <c r="B12" s="48" t="s">
        <v>40</v>
      </c>
      <c r="C12" s="228">
        <v>0</v>
      </c>
      <c r="D12" s="11">
        <v>0</v>
      </c>
      <c r="E12" s="11"/>
      <c r="F12" s="11">
        <v>0</v>
      </c>
      <c r="G12" s="11"/>
      <c r="H12" s="11"/>
      <c r="I12" s="11"/>
      <c r="J12" s="11">
        <v>0</v>
      </c>
      <c r="K12" s="11">
        <v>0</v>
      </c>
      <c r="L12" s="11">
        <v>0</v>
      </c>
      <c r="M12" s="11"/>
      <c r="N12" s="11"/>
      <c r="O12" s="245">
        <f>SUM(Tabla2[[#This Row],[Gener]:[Desembre]])</f>
        <v>0</v>
      </c>
    </row>
    <row r="13" spans="1:15" x14ac:dyDescent="0.25">
      <c r="A13" s="13">
        <v>10</v>
      </c>
      <c r="B13" s="46" t="s">
        <v>41</v>
      </c>
      <c r="C13" s="228">
        <v>33983.589999999997</v>
      </c>
      <c r="D13" s="11">
        <v>29587.5</v>
      </c>
      <c r="E13" s="11">
        <v>32232.69</v>
      </c>
      <c r="F13" s="11">
        <v>27688.76</v>
      </c>
      <c r="G13" s="11">
        <v>28493.7</v>
      </c>
      <c r="H13" s="11">
        <v>29373.8</v>
      </c>
      <c r="I13" s="11">
        <v>31140.33</v>
      </c>
      <c r="J13" s="11">
        <v>27406.52</v>
      </c>
      <c r="K13" s="35">
        <v>28716.57</v>
      </c>
      <c r="L13" s="11">
        <v>29945.09</v>
      </c>
      <c r="M13" s="11"/>
      <c r="N13" s="34"/>
      <c r="O13" s="244">
        <f>SUM(Tabla2[[#This Row],[Gener]:[Desembre]])</f>
        <v>298568.55</v>
      </c>
    </row>
    <row r="14" spans="1:15" x14ac:dyDescent="0.25">
      <c r="A14" s="13">
        <v>11</v>
      </c>
      <c r="B14" s="47" t="s">
        <v>9</v>
      </c>
      <c r="C14" s="228">
        <v>108707.83</v>
      </c>
      <c r="D14" s="11">
        <v>97850.63</v>
      </c>
      <c r="E14" s="11">
        <v>100705.69</v>
      </c>
      <c r="F14" s="11">
        <v>90994.23</v>
      </c>
      <c r="G14" s="11">
        <v>98221.94</v>
      </c>
      <c r="H14" s="11">
        <v>101006.22</v>
      </c>
      <c r="I14" s="11">
        <v>104179.39</v>
      </c>
      <c r="J14" s="11">
        <v>85850.07</v>
      </c>
      <c r="K14" s="35">
        <v>101266.18</v>
      </c>
      <c r="L14" s="11">
        <v>95544.33</v>
      </c>
      <c r="M14" s="11"/>
      <c r="N14" s="34"/>
      <c r="O14" s="245">
        <f>SUM(Tabla2[[#This Row],[Gener]:[Desembre]])</f>
        <v>984326.50999999989</v>
      </c>
    </row>
    <row r="15" spans="1:15" x14ac:dyDescent="0.25">
      <c r="A15" s="13">
        <v>12</v>
      </c>
      <c r="B15" s="47" t="s">
        <v>10</v>
      </c>
      <c r="C15" s="228">
        <v>3351.01</v>
      </c>
      <c r="D15" s="11">
        <v>3309.36</v>
      </c>
      <c r="E15" s="11">
        <v>4449.6099999999997</v>
      </c>
      <c r="F15" s="11">
        <v>3522.11</v>
      </c>
      <c r="G15" s="11">
        <v>3957.11</v>
      </c>
      <c r="H15" s="11">
        <v>5126.4399999999996</v>
      </c>
      <c r="I15" s="11">
        <v>3972.68</v>
      </c>
      <c r="J15" s="11">
        <v>4171.07</v>
      </c>
      <c r="K15" s="35">
        <v>5296.67</v>
      </c>
      <c r="L15" s="11">
        <v>3555.2</v>
      </c>
      <c r="M15" s="11"/>
      <c r="N15" s="34"/>
      <c r="O15" s="245">
        <f>SUM(Tabla2[[#This Row],[Gener]:[Desembre]])</f>
        <v>40711.259999999995</v>
      </c>
    </row>
    <row r="16" spans="1:15" x14ac:dyDescent="0.25">
      <c r="A16" s="13">
        <v>13</v>
      </c>
      <c r="B16" s="48" t="s">
        <v>42</v>
      </c>
      <c r="C16" s="228">
        <v>22820</v>
      </c>
      <c r="D16" s="11">
        <v>24200</v>
      </c>
      <c r="E16" s="11">
        <v>20680</v>
      </c>
      <c r="F16" s="11">
        <v>21060</v>
      </c>
      <c r="G16" s="11">
        <v>17130</v>
      </c>
      <c r="H16" s="11">
        <v>19733.75</v>
      </c>
      <c r="I16" s="11">
        <v>21140</v>
      </c>
      <c r="J16" s="11">
        <v>16540</v>
      </c>
      <c r="K16" s="35">
        <v>19340</v>
      </c>
      <c r="L16" s="11">
        <v>16640</v>
      </c>
      <c r="M16" s="11"/>
      <c r="N16" s="34"/>
      <c r="O16" s="245">
        <f>SUM(Tabla2[[#This Row],[Gener]:[Desembre]])</f>
        <v>199283.75</v>
      </c>
    </row>
    <row r="17" spans="1:15" x14ac:dyDescent="0.25">
      <c r="A17" s="13">
        <v>14</v>
      </c>
      <c r="B17" s="47" t="s">
        <v>11</v>
      </c>
      <c r="C17" s="228">
        <v>0</v>
      </c>
      <c r="D17" s="11">
        <v>0</v>
      </c>
      <c r="E17" s="11"/>
      <c r="F17" s="11">
        <v>0</v>
      </c>
      <c r="G17" s="11"/>
      <c r="H17" s="11"/>
      <c r="I17" s="11"/>
      <c r="J17" s="11">
        <v>0</v>
      </c>
      <c r="K17" s="35">
        <v>0</v>
      </c>
      <c r="L17" s="11">
        <v>0</v>
      </c>
      <c r="M17" s="11"/>
      <c r="N17" s="34"/>
      <c r="O17" s="245">
        <f>SUM(Tabla2[[#This Row],[Gener]:[Desembre]])</f>
        <v>0</v>
      </c>
    </row>
    <row r="18" spans="1:15" x14ac:dyDescent="0.25">
      <c r="A18" s="13">
        <v>15</v>
      </c>
      <c r="B18" s="47" t="s">
        <v>12</v>
      </c>
      <c r="C18" s="228">
        <v>10976.06</v>
      </c>
      <c r="D18" s="11">
        <v>10093.76</v>
      </c>
      <c r="E18" s="11">
        <v>11534.81</v>
      </c>
      <c r="F18" s="11">
        <v>13593.24</v>
      </c>
      <c r="G18" s="11">
        <v>10244.030000000001</v>
      </c>
      <c r="H18" s="11">
        <v>11114.14</v>
      </c>
      <c r="I18" s="11">
        <v>14532.28</v>
      </c>
      <c r="J18" s="11">
        <v>11077.31</v>
      </c>
      <c r="K18" s="35">
        <v>13827.96</v>
      </c>
      <c r="L18" s="11">
        <v>14568.93</v>
      </c>
      <c r="M18" s="11"/>
      <c r="N18" s="34"/>
      <c r="O18" s="245">
        <f>SUM(Tabla2[[#This Row],[Gener]:[Desembre]])</f>
        <v>121562.51999999999</v>
      </c>
    </row>
    <row r="19" spans="1:15" x14ac:dyDescent="0.25">
      <c r="A19" s="13">
        <v>16</v>
      </c>
      <c r="B19" s="47" t="s">
        <v>13</v>
      </c>
      <c r="C19" s="228">
        <v>0</v>
      </c>
      <c r="D19" s="11">
        <v>0</v>
      </c>
      <c r="E19" s="11"/>
      <c r="F19" s="11">
        <v>0</v>
      </c>
      <c r="G19" s="11"/>
      <c r="H19" s="11"/>
      <c r="I19" s="11"/>
      <c r="J19" s="11">
        <v>0</v>
      </c>
      <c r="K19" s="35">
        <v>0</v>
      </c>
      <c r="L19" s="11">
        <v>0</v>
      </c>
      <c r="M19" s="11"/>
      <c r="N19" s="34"/>
      <c r="O19" s="245">
        <f>SUM(Tabla2[[#This Row],[Gener]:[Desembre]])</f>
        <v>0</v>
      </c>
    </row>
    <row r="20" spans="1:15" x14ac:dyDescent="0.25">
      <c r="A20" s="13">
        <v>17</v>
      </c>
      <c r="B20" s="47" t="s">
        <v>14</v>
      </c>
      <c r="C20" s="228">
        <v>15216.5</v>
      </c>
      <c r="D20" s="11">
        <v>12918.44</v>
      </c>
      <c r="E20" s="11">
        <v>14590.4</v>
      </c>
      <c r="F20" s="11">
        <v>12634.15</v>
      </c>
      <c r="G20" s="11">
        <v>12169.59</v>
      </c>
      <c r="H20" s="11">
        <v>12455.01</v>
      </c>
      <c r="I20" s="11">
        <v>13718.31</v>
      </c>
      <c r="J20" s="11">
        <v>10365.290000000001</v>
      </c>
      <c r="K20" s="35">
        <v>12666.18</v>
      </c>
      <c r="L20" s="11">
        <v>12284.690000000002</v>
      </c>
      <c r="M20" s="11"/>
      <c r="N20" s="34"/>
      <c r="O20" s="245">
        <f>SUM(Tabla2[[#This Row],[Gener]:[Desembre]])</f>
        <v>129018.56</v>
      </c>
    </row>
    <row r="21" spans="1:15" x14ac:dyDescent="0.25">
      <c r="A21" s="13">
        <v>18</v>
      </c>
      <c r="B21" s="47" t="s">
        <v>15</v>
      </c>
      <c r="C21" s="228">
        <v>90909.31</v>
      </c>
      <c r="D21" s="11">
        <v>83205.52</v>
      </c>
      <c r="E21" s="11">
        <v>82582.100000000006</v>
      </c>
      <c r="F21" s="11">
        <v>79941.16</v>
      </c>
      <c r="G21" s="11">
        <v>84689.42</v>
      </c>
      <c r="H21" s="11">
        <v>84082.78</v>
      </c>
      <c r="I21" s="11">
        <v>85802.69</v>
      </c>
      <c r="J21" s="11">
        <v>72217.91</v>
      </c>
      <c r="K21" s="35">
        <v>86661.34</v>
      </c>
      <c r="L21" s="11">
        <v>90966.28</v>
      </c>
      <c r="M21" s="11"/>
      <c r="N21" s="34"/>
      <c r="O21" s="245">
        <f>SUM(Tabla2[[#This Row],[Gener]:[Desembre]])</f>
        <v>841058.51</v>
      </c>
    </row>
    <row r="22" spans="1:15" x14ac:dyDescent="0.25">
      <c r="A22" s="13">
        <v>19</v>
      </c>
      <c r="B22" s="47" t="s">
        <v>16</v>
      </c>
      <c r="C22" s="228">
        <v>15207.69</v>
      </c>
      <c r="D22" s="11">
        <v>12930.05</v>
      </c>
      <c r="E22" s="11">
        <v>14221.16</v>
      </c>
      <c r="F22" s="11">
        <v>12992.1</v>
      </c>
      <c r="G22" s="11">
        <v>11937.68</v>
      </c>
      <c r="H22" s="11">
        <v>14224.19</v>
      </c>
      <c r="I22" s="11">
        <v>13759.84</v>
      </c>
      <c r="J22" s="11">
        <v>12134.92</v>
      </c>
      <c r="K22" s="35">
        <v>11577.65</v>
      </c>
      <c r="L22" s="11">
        <v>12718.18</v>
      </c>
      <c r="M22" s="11"/>
      <c r="N22" s="34"/>
      <c r="O22" s="245">
        <f>SUM(Tabla2[[#This Row],[Gener]:[Desembre]])</f>
        <v>131703.46</v>
      </c>
    </row>
    <row r="23" spans="1:15" x14ac:dyDescent="0.25">
      <c r="A23" s="13">
        <v>20</v>
      </c>
      <c r="B23" s="47" t="s">
        <v>17</v>
      </c>
      <c r="C23" s="228">
        <v>0</v>
      </c>
      <c r="D23" s="11">
        <v>0</v>
      </c>
      <c r="E23" s="11"/>
      <c r="F23" s="11">
        <v>0</v>
      </c>
      <c r="G23" s="11"/>
      <c r="H23" s="11"/>
      <c r="I23" s="11"/>
      <c r="J23" s="11">
        <v>0</v>
      </c>
      <c r="K23" s="35">
        <v>0</v>
      </c>
      <c r="L23" s="11">
        <v>0</v>
      </c>
      <c r="M23" s="11"/>
      <c r="N23" s="34"/>
      <c r="O23" s="245">
        <f>SUM(Tabla2[[#This Row],[Gener]:[Desembre]])</f>
        <v>0</v>
      </c>
    </row>
    <row r="24" spans="1:15" x14ac:dyDescent="0.25">
      <c r="A24" s="13">
        <v>21</v>
      </c>
      <c r="B24" s="47" t="s">
        <v>18</v>
      </c>
      <c r="C24" s="228">
        <v>820.61</v>
      </c>
      <c r="D24" s="11">
        <v>791.75</v>
      </c>
      <c r="E24" s="11">
        <v>783.69</v>
      </c>
      <c r="F24" s="11">
        <v>1159.95</v>
      </c>
      <c r="G24" s="11">
        <v>912.13</v>
      </c>
      <c r="H24" s="11">
        <v>1362.91</v>
      </c>
      <c r="I24" s="11">
        <v>1095.3599999999999</v>
      </c>
      <c r="J24" s="11">
        <v>1203.9100000000001</v>
      </c>
      <c r="K24" s="35">
        <v>1281.8499999999999</v>
      </c>
      <c r="L24" s="11">
        <v>935.75</v>
      </c>
      <c r="M24" s="11"/>
      <c r="N24" s="34"/>
      <c r="O24" s="245">
        <f>SUM(Tabla2[[#This Row],[Gener]:[Desembre]])</f>
        <v>10347.91</v>
      </c>
    </row>
    <row r="25" spans="1:15" x14ac:dyDescent="0.25">
      <c r="A25" s="13">
        <v>22</v>
      </c>
      <c r="B25" s="47" t="s">
        <v>19</v>
      </c>
      <c r="C25" s="228">
        <v>28028.79</v>
      </c>
      <c r="D25" s="11">
        <v>22702.239999999998</v>
      </c>
      <c r="E25" s="11">
        <v>25651.24</v>
      </c>
      <c r="F25" s="11">
        <v>24975.98</v>
      </c>
      <c r="G25" s="11">
        <v>24657.38</v>
      </c>
      <c r="H25" s="11">
        <v>24305.39</v>
      </c>
      <c r="I25" s="11">
        <v>27050.91</v>
      </c>
      <c r="J25" s="11">
        <v>22001.29</v>
      </c>
      <c r="K25" s="35">
        <v>25360.44</v>
      </c>
      <c r="L25" s="11">
        <v>24365.06</v>
      </c>
      <c r="M25" s="11"/>
      <c r="N25" s="34"/>
      <c r="O25" s="245">
        <f>SUM(Tabla2[[#This Row],[Gener]:[Desembre]])</f>
        <v>249098.72000000003</v>
      </c>
    </row>
    <row r="26" spans="1:15" x14ac:dyDescent="0.25">
      <c r="A26" s="13">
        <v>23</v>
      </c>
      <c r="B26" s="48" t="s">
        <v>43</v>
      </c>
      <c r="C26" s="228">
        <v>15899.33</v>
      </c>
      <c r="D26" s="11">
        <v>14680</v>
      </c>
      <c r="E26" s="11">
        <v>16490</v>
      </c>
      <c r="F26" s="11">
        <v>14810</v>
      </c>
      <c r="G26" s="11">
        <v>13540</v>
      </c>
      <c r="H26" s="11">
        <v>18070</v>
      </c>
      <c r="I26" s="11">
        <v>15840</v>
      </c>
      <c r="J26" s="11">
        <v>16510</v>
      </c>
      <c r="K26" s="35">
        <v>14920</v>
      </c>
      <c r="L26" s="11">
        <v>15984</v>
      </c>
      <c r="M26" s="11"/>
      <c r="N26" s="34"/>
      <c r="O26" s="245">
        <f>SUM(Tabla2[[#This Row],[Gener]:[Desembre]])</f>
        <v>156743.33000000002</v>
      </c>
    </row>
    <row r="27" spans="1:15" x14ac:dyDescent="0.25">
      <c r="A27" s="13">
        <v>24</v>
      </c>
      <c r="B27" s="48" t="s">
        <v>44</v>
      </c>
      <c r="C27" s="233">
        <v>887.72</v>
      </c>
      <c r="D27" s="234">
        <v>387.17</v>
      </c>
      <c r="E27" s="234">
        <v>440.08</v>
      </c>
      <c r="F27" s="234">
        <v>314.39999999999998</v>
      </c>
      <c r="G27" s="234">
        <v>523.78</v>
      </c>
      <c r="H27" s="234">
        <v>481.52</v>
      </c>
      <c r="I27" s="235">
        <v>2160.64</v>
      </c>
      <c r="J27" s="234">
        <v>366.54</v>
      </c>
      <c r="K27" s="35">
        <v>467.36</v>
      </c>
      <c r="L27" s="11">
        <v>427.89</v>
      </c>
      <c r="M27" s="11"/>
      <c r="N27" s="34"/>
      <c r="O27" s="245">
        <f>SUM(Tabla2[[#This Row],[Gener]:[Desembre]])</f>
        <v>6457.0999999999995</v>
      </c>
    </row>
    <row r="28" spans="1:15" x14ac:dyDescent="0.25">
      <c r="A28" s="13">
        <v>25</v>
      </c>
      <c r="B28" s="47" t="s">
        <v>20</v>
      </c>
      <c r="C28" s="228">
        <v>33279.47</v>
      </c>
      <c r="D28" s="11">
        <v>31435.91</v>
      </c>
      <c r="E28" s="11">
        <v>32836.339999999997</v>
      </c>
      <c r="F28" s="11">
        <v>33250.639999999999</v>
      </c>
      <c r="G28" s="11">
        <v>31495.05</v>
      </c>
      <c r="H28" s="11">
        <v>37828.11</v>
      </c>
      <c r="I28" s="11">
        <v>33607.360000000001</v>
      </c>
      <c r="J28" s="11">
        <f>29891.44+3540</f>
        <v>33431.440000000002</v>
      </c>
      <c r="K28" s="35">
        <v>35790.33</v>
      </c>
      <c r="L28" s="11">
        <v>33207.72</v>
      </c>
      <c r="M28" s="11"/>
      <c r="N28" s="34"/>
      <c r="O28" s="245">
        <f>SUM(Tabla2[[#This Row],[Gener]:[Desembre]])</f>
        <v>336162.37</v>
      </c>
    </row>
    <row r="29" spans="1:15" x14ac:dyDescent="0.25">
      <c r="A29" s="13">
        <v>26</v>
      </c>
      <c r="B29" s="48" t="s">
        <v>45</v>
      </c>
      <c r="C29" s="228">
        <v>0</v>
      </c>
      <c r="D29" s="11">
        <v>0</v>
      </c>
      <c r="E29" s="11"/>
      <c r="F29" s="11">
        <v>0</v>
      </c>
      <c r="G29" s="11"/>
      <c r="H29" s="11"/>
      <c r="I29" s="11"/>
      <c r="J29" s="11">
        <v>0</v>
      </c>
      <c r="K29" s="35">
        <v>0</v>
      </c>
      <c r="L29" s="11">
        <v>0</v>
      </c>
      <c r="M29" s="11"/>
      <c r="N29" s="34"/>
      <c r="O29" s="245">
        <f>SUM(Tabla2[[#This Row],[Gener]:[Desembre]])</f>
        <v>0</v>
      </c>
    </row>
    <row r="30" spans="1:15" x14ac:dyDescent="0.25">
      <c r="A30" s="13">
        <v>27</v>
      </c>
      <c r="B30" s="48" t="s">
        <v>46</v>
      </c>
      <c r="C30" s="233">
        <v>0</v>
      </c>
      <c r="D30" s="234">
        <v>0</v>
      </c>
      <c r="E30" s="234"/>
      <c r="F30" s="234">
        <v>0</v>
      </c>
      <c r="G30" s="11"/>
      <c r="H30" s="11"/>
      <c r="I30" s="11"/>
      <c r="J30" s="11">
        <v>0</v>
      </c>
      <c r="K30" s="35">
        <v>0</v>
      </c>
      <c r="L30" s="11">
        <v>0</v>
      </c>
      <c r="M30" s="11"/>
      <c r="N30" s="34"/>
      <c r="O30" s="245">
        <f>SUM(Tabla2[[#This Row],[Gener]:[Desembre]])</f>
        <v>0</v>
      </c>
    </row>
    <row r="31" spans="1:15" x14ac:dyDescent="0.25">
      <c r="A31" s="13">
        <v>28</v>
      </c>
      <c r="B31" s="48" t="s">
        <v>47</v>
      </c>
      <c r="C31" s="228">
        <v>13885.300000000001</v>
      </c>
      <c r="D31" s="11">
        <v>11647.03</v>
      </c>
      <c r="E31" s="11">
        <v>12394.4</v>
      </c>
      <c r="F31" s="11">
        <v>10444.129999999999</v>
      </c>
      <c r="G31" s="11">
        <v>12374.13</v>
      </c>
      <c r="H31" s="11">
        <v>14712.58</v>
      </c>
      <c r="I31" s="11">
        <v>12943.04</v>
      </c>
      <c r="J31" s="11">
        <v>12637.41</v>
      </c>
      <c r="K31" s="35">
        <v>12007.36</v>
      </c>
      <c r="L31" s="11">
        <v>10112.25</v>
      </c>
      <c r="M31" s="11"/>
      <c r="N31" s="34"/>
      <c r="O31" s="245">
        <f>SUM(Tabla2[[#This Row],[Gener]:[Desembre]])</f>
        <v>123157.62999999999</v>
      </c>
    </row>
    <row r="32" spans="1:15" x14ac:dyDescent="0.25">
      <c r="A32" s="13">
        <v>29</v>
      </c>
      <c r="B32" s="48" t="s">
        <v>48</v>
      </c>
      <c r="C32" s="228">
        <v>198.59</v>
      </c>
      <c r="D32" s="11">
        <v>140.61000000000001</v>
      </c>
      <c r="E32" s="11">
        <v>202.61</v>
      </c>
      <c r="F32" s="11">
        <v>274.2</v>
      </c>
      <c r="G32" s="11">
        <v>196.49</v>
      </c>
      <c r="H32" s="11">
        <v>324.33999999999997</v>
      </c>
      <c r="I32" s="11">
        <v>251.31</v>
      </c>
      <c r="J32" s="11">
        <v>265.85000000000002</v>
      </c>
      <c r="K32" s="35">
        <v>269.43</v>
      </c>
      <c r="L32" s="11">
        <v>231.07</v>
      </c>
      <c r="M32" s="11"/>
      <c r="N32" s="34"/>
      <c r="O32" s="245">
        <f>SUM(Tabla2[[#This Row],[Gener]:[Desembre]])</f>
        <v>2354.5</v>
      </c>
    </row>
    <row r="33" spans="1:15" x14ac:dyDescent="0.25">
      <c r="A33" s="13">
        <v>30</v>
      </c>
      <c r="B33" s="48" t="s">
        <v>50</v>
      </c>
      <c r="C33" s="228">
        <v>0</v>
      </c>
      <c r="D33" s="11">
        <v>0</v>
      </c>
      <c r="E33" s="11"/>
      <c r="F33" s="11">
        <v>0</v>
      </c>
      <c r="G33" s="11"/>
      <c r="H33" s="11"/>
      <c r="I33" s="11"/>
      <c r="J33" s="11">
        <v>0</v>
      </c>
      <c r="K33" s="35">
        <v>0</v>
      </c>
      <c r="L33" s="11">
        <v>0</v>
      </c>
      <c r="M33" s="11"/>
      <c r="N33" s="34"/>
      <c r="O33" s="245">
        <f>SUM(Tabla2[[#This Row],[Gener]:[Desembre]])</f>
        <v>0</v>
      </c>
    </row>
    <row r="34" spans="1:15" x14ac:dyDescent="0.25">
      <c r="A34" s="13">
        <v>31</v>
      </c>
      <c r="B34" s="48" t="s">
        <v>51</v>
      </c>
      <c r="C34" s="228">
        <v>1956.5900000000001</v>
      </c>
      <c r="D34" s="11">
        <v>1694.35</v>
      </c>
      <c r="E34" s="11">
        <v>1378.16</v>
      </c>
      <c r="F34" s="11">
        <v>1613.86</v>
      </c>
      <c r="G34" s="11">
        <v>1195.9000000000001</v>
      </c>
      <c r="H34" s="11">
        <v>1856.95</v>
      </c>
      <c r="I34" s="11">
        <v>1501.08</v>
      </c>
      <c r="J34" s="11">
        <v>3659.22</v>
      </c>
      <c r="K34" s="35">
        <v>1837.49</v>
      </c>
      <c r="L34" s="11">
        <v>1693.64</v>
      </c>
      <c r="M34" s="11"/>
      <c r="N34" s="34"/>
      <c r="O34" s="245">
        <f>SUM(Tabla2[[#This Row],[Gener]:[Desembre]])</f>
        <v>18387.240000000002</v>
      </c>
    </row>
    <row r="35" spans="1:15" x14ac:dyDescent="0.25">
      <c r="A35" s="13">
        <v>32</v>
      </c>
      <c r="B35" s="48" t="s">
        <v>52</v>
      </c>
      <c r="C35" s="228">
        <v>21042.91</v>
      </c>
      <c r="D35" s="11">
        <v>18801.740000000002</v>
      </c>
      <c r="E35" s="11">
        <v>21107.34</v>
      </c>
      <c r="F35" s="11">
        <v>22418.38</v>
      </c>
      <c r="G35" s="11">
        <v>20869.509999999998</v>
      </c>
      <c r="H35" s="11">
        <v>24053.62</v>
      </c>
      <c r="I35" s="11">
        <v>24212.37</v>
      </c>
      <c r="J35" s="11">
        <v>19202.240000000002</v>
      </c>
      <c r="K35" s="35">
        <v>17612.23</v>
      </c>
      <c r="L35" s="11">
        <v>19159.14</v>
      </c>
      <c r="M35" s="11"/>
      <c r="N35" s="34"/>
      <c r="O35" s="245">
        <f>SUM(Tabla2[[#This Row],[Gener]:[Desembre]])</f>
        <v>208479.47999999998</v>
      </c>
    </row>
    <row r="36" spans="1:15" x14ac:dyDescent="0.25">
      <c r="A36" s="13">
        <v>33</v>
      </c>
      <c r="B36" s="47" t="s">
        <v>21</v>
      </c>
      <c r="C36" s="228">
        <v>0</v>
      </c>
      <c r="D36" s="11">
        <v>0</v>
      </c>
      <c r="E36" s="11"/>
      <c r="F36" s="11">
        <v>0</v>
      </c>
      <c r="G36" s="11"/>
      <c r="H36" s="11"/>
      <c r="I36" s="11"/>
      <c r="J36" s="11">
        <v>0</v>
      </c>
      <c r="K36" s="35">
        <v>0</v>
      </c>
      <c r="L36" s="11">
        <v>0</v>
      </c>
      <c r="M36" s="11"/>
      <c r="N36" s="34"/>
      <c r="O36" s="245">
        <f>SUM(Tabla2[[#This Row],[Gener]:[Desembre]])</f>
        <v>0</v>
      </c>
    </row>
    <row r="37" spans="1:15" x14ac:dyDescent="0.25">
      <c r="A37" s="13">
        <v>34</v>
      </c>
      <c r="B37" s="47" t="s">
        <v>22</v>
      </c>
      <c r="C37" s="228">
        <v>5511.88</v>
      </c>
      <c r="D37" s="11">
        <v>5395.31</v>
      </c>
      <c r="E37" s="11">
        <v>5646.05</v>
      </c>
      <c r="F37" s="11">
        <v>6045.13</v>
      </c>
      <c r="G37" s="11">
        <v>5526.46</v>
      </c>
      <c r="H37" s="11">
        <v>6659.28</v>
      </c>
      <c r="I37" s="11">
        <v>6262.21</v>
      </c>
      <c r="J37" s="11">
        <v>8142.87</v>
      </c>
      <c r="K37" s="35">
        <v>5380.18</v>
      </c>
      <c r="L37" s="11">
        <v>5243.2</v>
      </c>
      <c r="M37" s="11"/>
      <c r="N37" s="34"/>
      <c r="O37" s="245">
        <f>SUM(Tabla2[[#This Row],[Gener]:[Desembre]])</f>
        <v>59812.57</v>
      </c>
    </row>
    <row r="38" spans="1:15" x14ac:dyDescent="0.25">
      <c r="A38" s="13">
        <v>35</v>
      </c>
      <c r="B38" s="47" t="s">
        <v>23</v>
      </c>
      <c r="C38" s="228">
        <v>7381.91</v>
      </c>
      <c r="D38" s="11">
        <v>6991.19</v>
      </c>
      <c r="E38" s="11">
        <v>6783.1</v>
      </c>
      <c r="F38" s="11">
        <v>6771.88</v>
      </c>
      <c r="G38" s="11">
        <v>7389.73</v>
      </c>
      <c r="H38" s="11">
        <v>7586.69</v>
      </c>
      <c r="I38" s="11">
        <v>7727.63</v>
      </c>
      <c r="J38" s="11">
        <v>8157.33</v>
      </c>
      <c r="K38" s="35">
        <v>6928.28</v>
      </c>
      <c r="L38" s="11">
        <v>5550.92</v>
      </c>
      <c r="M38" s="11"/>
      <c r="N38" s="34"/>
      <c r="O38" s="245">
        <f>SUM(Tabla2[[#This Row],[Gener]:[Desembre]])</f>
        <v>71268.66</v>
      </c>
    </row>
    <row r="39" spans="1:15" x14ac:dyDescent="0.25">
      <c r="A39" s="13">
        <v>36</v>
      </c>
      <c r="B39" s="47" t="s">
        <v>24</v>
      </c>
      <c r="C39" s="228">
        <v>1775.19</v>
      </c>
      <c r="D39" s="11">
        <v>1510.54</v>
      </c>
      <c r="E39" s="11">
        <v>2171.41</v>
      </c>
      <c r="F39" s="11">
        <v>2433.73</v>
      </c>
      <c r="G39" s="11">
        <v>1347.89</v>
      </c>
      <c r="H39" s="11">
        <v>1749.27</v>
      </c>
      <c r="I39" s="11">
        <v>1647.32</v>
      </c>
      <c r="J39" s="11">
        <v>1578.93</v>
      </c>
      <c r="K39" s="35">
        <v>1946.52</v>
      </c>
      <c r="L39" s="11">
        <v>1369.8</v>
      </c>
      <c r="M39" s="11"/>
      <c r="N39" s="34"/>
      <c r="O39" s="245">
        <f>SUM(Tabla2[[#This Row],[Gener]:[Desembre]])</f>
        <v>17530.599999999999</v>
      </c>
    </row>
    <row r="40" spans="1:15" x14ac:dyDescent="0.25">
      <c r="A40" s="13">
        <v>37</v>
      </c>
      <c r="B40" s="47" t="s">
        <v>25</v>
      </c>
      <c r="C40" s="228">
        <v>12673.86</v>
      </c>
      <c r="D40" s="11">
        <v>10973.2</v>
      </c>
      <c r="E40" s="11">
        <v>11064.92</v>
      </c>
      <c r="F40" s="11">
        <v>9265.0499999999993</v>
      </c>
      <c r="G40" s="11">
        <v>10425.870000000001</v>
      </c>
      <c r="H40" s="11">
        <v>11015.6</v>
      </c>
      <c r="I40" s="11">
        <v>11229.21</v>
      </c>
      <c r="J40" s="11">
        <v>11727.52</v>
      </c>
      <c r="K40" s="35">
        <v>9238.0400000000009</v>
      </c>
      <c r="L40" s="11">
        <v>8654.4500000000007</v>
      </c>
      <c r="M40" s="11"/>
      <c r="N40" s="34"/>
      <c r="O40" s="245">
        <f>SUM(Tabla2[[#This Row],[Gener]:[Desembre]])</f>
        <v>106267.71999999999</v>
      </c>
    </row>
    <row r="41" spans="1:15" x14ac:dyDescent="0.25">
      <c r="A41" s="13">
        <v>38</v>
      </c>
      <c r="B41" s="47" t="s">
        <v>5</v>
      </c>
      <c r="C41" s="228">
        <v>1633.82</v>
      </c>
      <c r="D41" s="11">
        <v>1459.4</v>
      </c>
      <c r="E41" s="11">
        <v>1880.4</v>
      </c>
      <c r="F41" s="11">
        <v>1466.52</v>
      </c>
      <c r="G41" s="11">
        <v>1864.66</v>
      </c>
      <c r="H41" s="11">
        <v>1990.98</v>
      </c>
      <c r="I41" s="11">
        <v>1404.7</v>
      </c>
      <c r="J41" s="11">
        <v>1963.4</v>
      </c>
      <c r="K41" s="35">
        <v>2472.65</v>
      </c>
      <c r="L41" s="11">
        <v>2100.61</v>
      </c>
      <c r="M41" s="11"/>
      <c r="N41" s="34"/>
      <c r="O41" s="245">
        <f>SUM(Tabla2[[#This Row],[Gener]:[Desembre]])</f>
        <v>18237.14</v>
      </c>
    </row>
    <row r="42" spans="1:15" x14ac:dyDescent="0.25">
      <c r="A42" s="13">
        <v>39</v>
      </c>
      <c r="B42" s="47" t="s">
        <v>6</v>
      </c>
      <c r="C42" s="233">
        <v>982.18</v>
      </c>
      <c r="D42" s="234">
        <v>991.28</v>
      </c>
      <c r="E42" s="234">
        <v>1408.19</v>
      </c>
      <c r="F42" s="234">
        <v>1151.1400000000001</v>
      </c>
      <c r="G42" s="234">
        <v>1390.2</v>
      </c>
      <c r="H42" s="234">
        <v>2025.42</v>
      </c>
      <c r="I42" s="235">
        <v>1632.83</v>
      </c>
      <c r="J42" s="234">
        <v>1238.07</v>
      </c>
      <c r="K42" s="35">
        <v>1559.19</v>
      </c>
      <c r="L42" s="11">
        <v>1350.19</v>
      </c>
      <c r="M42" s="11"/>
      <c r="N42" s="34"/>
      <c r="O42" s="245">
        <f>SUM(Tabla2[[#This Row],[Gener]:[Desembre]])</f>
        <v>13728.69</v>
      </c>
    </row>
    <row r="43" spans="1:15" x14ac:dyDescent="0.25">
      <c r="A43" s="13">
        <v>40</v>
      </c>
      <c r="B43" s="47" t="s">
        <v>8</v>
      </c>
      <c r="C43" s="228">
        <v>154.72999999999999</v>
      </c>
      <c r="D43" s="11">
        <v>273.68</v>
      </c>
      <c r="E43" s="11">
        <v>476.4</v>
      </c>
      <c r="F43" s="11">
        <v>108.33</v>
      </c>
      <c r="G43" s="11">
        <v>253.35</v>
      </c>
      <c r="H43" s="11">
        <v>434.01</v>
      </c>
      <c r="I43" s="11">
        <v>300.49</v>
      </c>
      <c r="J43" s="11">
        <v>470.4</v>
      </c>
      <c r="K43" s="35">
        <v>490.94</v>
      </c>
      <c r="L43" s="11">
        <v>275.91000000000003</v>
      </c>
      <c r="M43" s="11"/>
      <c r="N43" s="34"/>
      <c r="O43" s="245">
        <f>SUM(Tabla2[[#This Row],[Gener]:[Desembre]])</f>
        <v>3238.24</v>
      </c>
    </row>
    <row r="44" spans="1:15" ht="15.75" thickBot="1" x14ac:dyDescent="0.3">
      <c r="A44" s="95">
        <v>41</v>
      </c>
      <c r="B44" s="99" t="s">
        <v>49</v>
      </c>
      <c r="C44" s="44">
        <v>0</v>
      </c>
      <c r="D44" s="35">
        <v>0</v>
      </c>
      <c r="E44" s="35"/>
      <c r="F44" s="22">
        <v>0</v>
      </c>
      <c r="G44" s="22"/>
      <c r="H44" s="22"/>
      <c r="I44" s="22"/>
      <c r="J44" s="35">
        <v>0</v>
      </c>
      <c r="K44" s="35">
        <v>0</v>
      </c>
      <c r="L44" s="22">
        <v>0</v>
      </c>
      <c r="M44" s="22"/>
      <c r="N44" s="37"/>
      <c r="O44" s="246">
        <f>SUM(Tabla2[[#This Row],[Gener]:[Desembre]])</f>
        <v>0</v>
      </c>
    </row>
    <row r="45" spans="1:15" s="4" customFormat="1" ht="15.75" thickBot="1" x14ac:dyDescent="0.3">
      <c r="A45" s="96"/>
      <c r="B45" s="23" t="s">
        <v>135</v>
      </c>
      <c r="C45" s="43">
        <f>SUBTOTAL(109,C5:C44)</f>
        <v>577979.99999999988</v>
      </c>
      <c r="D45" s="43">
        <f t="shared" ref="D45:N45" si="0">SUBTOTAL(109,D5:D44)</f>
        <v>521609.99</v>
      </c>
      <c r="E45" s="43">
        <f t="shared" si="0"/>
        <v>552550.00000000012</v>
      </c>
      <c r="F45" s="43">
        <f t="shared" si="0"/>
        <v>522102</v>
      </c>
      <c r="G45" s="43">
        <f t="shared" si="0"/>
        <v>526460.98</v>
      </c>
      <c r="H45" s="43">
        <f t="shared" si="0"/>
        <v>567729.97000000009</v>
      </c>
      <c r="I45" s="43">
        <f t="shared" si="0"/>
        <v>573418.97999999986</v>
      </c>
      <c r="J45" s="43">
        <f t="shared" si="0"/>
        <v>505190.01999999996</v>
      </c>
      <c r="K45" s="43">
        <f t="shared" si="0"/>
        <v>540496.6399999999</v>
      </c>
      <c r="L45" s="43">
        <f t="shared" si="0"/>
        <v>532923.98999999987</v>
      </c>
      <c r="M45" s="43">
        <f t="shared" si="0"/>
        <v>0</v>
      </c>
      <c r="N45" s="43">
        <f t="shared" si="0"/>
        <v>0</v>
      </c>
      <c r="O45" s="8">
        <f>SUBTOTAL(109,O5:O44)</f>
        <v>5420462.5699999994</v>
      </c>
    </row>
    <row r="46" spans="1:15" ht="15.75" thickBot="1" x14ac:dyDescent="0.3">
      <c r="A46" s="97"/>
      <c r="B46" s="50" t="s">
        <v>124</v>
      </c>
      <c r="C46" s="45">
        <v>618959.99999999977</v>
      </c>
      <c r="D46" s="38">
        <v>498470.26</v>
      </c>
      <c r="E46" s="38">
        <v>547400.02000000014</v>
      </c>
      <c r="F46" s="38">
        <v>566800</v>
      </c>
      <c r="G46" s="38">
        <v>541640.00999999989</v>
      </c>
      <c r="H46" s="38">
        <v>609488.57000000007</v>
      </c>
      <c r="I46" s="38">
        <v>585970.05000000005</v>
      </c>
      <c r="J46" s="38">
        <v>500221.00999999995</v>
      </c>
      <c r="K46" s="38">
        <v>570779.9600000002</v>
      </c>
      <c r="L46" s="38">
        <v>556520.01999999979</v>
      </c>
      <c r="M46" s="38">
        <v>546339.98999999976</v>
      </c>
      <c r="N46" s="40">
        <v>669765.96999999986</v>
      </c>
      <c r="O46" s="42">
        <f>SUM(Tabla2[[#This Row],[Gener]:[Desembre]])</f>
        <v>6812355.8599999985</v>
      </c>
    </row>
    <row r="47" spans="1:15" x14ac:dyDescent="0.25">
      <c r="A47" s="98"/>
      <c r="B47" s="86" t="s">
        <v>58</v>
      </c>
      <c r="C47" s="88">
        <f>(C45/C46)-1</f>
        <v>-6.6207832493214269E-2</v>
      </c>
      <c r="D47" s="88">
        <f>(D45/D46)-1</f>
        <v>4.6421485606784163E-2</v>
      </c>
      <c r="E47" s="88">
        <f t="shared" ref="E47:O47" si="1">(E45/E46)-1</f>
        <v>9.4080741904247756E-3</v>
      </c>
      <c r="F47" s="88">
        <f t="shared" si="1"/>
        <v>-7.8860268172194825E-2</v>
      </c>
      <c r="G47" s="88">
        <f t="shared" si="1"/>
        <v>-2.8024203751122245E-2</v>
      </c>
      <c r="H47" s="88">
        <f t="shared" si="1"/>
        <v>-6.8514164260701338E-2</v>
      </c>
      <c r="I47" s="88">
        <f t="shared" si="1"/>
        <v>-2.1419302914884808E-2</v>
      </c>
      <c r="J47" s="88">
        <f t="shared" si="1"/>
        <v>9.9336291372487118E-3</v>
      </c>
      <c r="K47" s="88">
        <f t="shared" si="1"/>
        <v>-5.3056032310595302E-2</v>
      </c>
      <c r="L47" s="88">
        <f t="shared" si="1"/>
        <v>-4.2399247380174976E-2</v>
      </c>
      <c r="M47" s="88">
        <f t="shared" si="1"/>
        <v>-1</v>
      </c>
      <c r="N47" s="88">
        <f t="shared" si="1"/>
        <v>-1</v>
      </c>
      <c r="O47" s="88">
        <f t="shared" si="1"/>
        <v>-0.20431893438990123</v>
      </c>
    </row>
    <row r="48" spans="1:15" x14ac:dyDescent="0.2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50" spans="5:8" x14ac:dyDescent="0.25">
      <c r="E50" s="87"/>
      <c r="H50" s="89"/>
    </row>
  </sheetData>
  <sheetProtection sheet="1" objects="1" scenarios="1"/>
  <pageMargins left="0.19685039370078741" right="0.23622047244094491" top="0.39370078740157483" bottom="0.45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"/>
  <sheetViews>
    <sheetView showZeros="0" zoomScale="90" zoomScaleNormal="90" workbookViewId="0">
      <pane xSplit="2" topLeftCell="C1" activePane="topRight" state="frozen"/>
      <selection activeCell="B45" sqref="B45"/>
      <selection pane="topRight" activeCell="R55" sqref="R55"/>
    </sheetView>
  </sheetViews>
  <sheetFormatPr baseColWidth="10" defaultColWidth="11.42578125" defaultRowHeight="15" x14ac:dyDescent="0.25"/>
  <cols>
    <col min="1" max="1" width="5.7109375" style="3" customWidth="1"/>
    <col min="2" max="2" width="26.140625" style="20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9" ht="15.75" x14ac:dyDescent="0.25">
      <c r="B2" s="1" t="s">
        <v>136</v>
      </c>
    </row>
    <row r="3" spans="1:19" ht="15.75" thickBot="1" x14ac:dyDescent="0.3">
      <c r="B3" s="3"/>
      <c r="C3" s="4" t="s">
        <v>66</v>
      </c>
    </row>
    <row r="4" spans="1:19" ht="15.75" thickBot="1" x14ac:dyDescent="0.3">
      <c r="A4" s="8" t="s">
        <v>59</v>
      </c>
      <c r="B4" s="23" t="s">
        <v>57</v>
      </c>
      <c r="C4" s="43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9" t="s">
        <v>37</v>
      </c>
      <c r="O4" s="8" t="s">
        <v>38</v>
      </c>
    </row>
    <row r="5" spans="1:19" x14ac:dyDescent="0.25">
      <c r="A5" s="41">
        <v>1</v>
      </c>
      <c r="B5" s="46" t="s">
        <v>39</v>
      </c>
      <c r="C5" s="44"/>
      <c r="D5" s="35">
        <v>0</v>
      </c>
      <c r="E5" s="35"/>
      <c r="F5" s="35"/>
      <c r="G5" s="35">
        <v>0</v>
      </c>
      <c r="H5" s="364">
        <v>0</v>
      </c>
      <c r="I5" s="35"/>
      <c r="J5" s="35">
        <v>0</v>
      </c>
      <c r="K5" s="35">
        <v>0</v>
      </c>
      <c r="L5" s="35">
        <v>0</v>
      </c>
      <c r="M5" s="35"/>
      <c r="N5" s="36"/>
      <c r="O5" s="247">
        <f>SUM(Tabla25[[#This Row],[Gener]:[Desembre]])</f>
        <v>0</v>
      </c>
    </row>
    <row r="6" spans="1:19" x14ac:dyDescent="0.25">
      <c r="A6" s="13">
        <v>2</v>
      </c>
      <c r="B6" s="47" t="s">
        <v>0</v>
      </c>
      <c r="C6" s="228">
        <v>1840</v>
      </c>
      <c r="D6" s="11">
        <v>1880</v>
      </c>
      <c r="E6" s="11">
        <v>1700</v>
      </c>
      <c r="F6" s="11">
        <v>1620</v>
      </c>
      <c r="G6" s="11">
        <v>2020</v>
      </c>
      <c r="H6" s="363">
        <v>1860</v>
      </c>
      <c r="I6" s="11">
        <v>2740</v>
      </c>
      <c r="J6" s="11">
        <v>1260</v>
      </c>
      <c r="K6" s="11">
        <v>1460</v>
      </c>
      <c r="L6" s="11">
        <v>1800</v>
      </c>
      <c r="M6" s="11"/>
      <c r="N6" s="12"/>
      <c r="O6" s="248">
        <f>SUM(Tabla25[[#This Row],[Gener]:[Desembre]])</f>
        <v>18180</v>
      </c>
    </row>
    <row r="7" spans="1:19" x14ac:dyDescent="0.25">
      <c r="A7" s="13">
        <v>3</v>
      </c>
      <c r="B7" s="47" t="s">
        <v>1</v>
      </c>
      <c r="C7" s="228"/>
      <c r="D7" s="11">
        <v>0</v>
      </c>
      <c r="E7" s="11"/>
      <c r="F7" s="11"/>
      <c r="G7" s="11">
        <v>0</v>
      </c>
      <c r="H7" s="363">
        <v>0</v>
      </c>
      <c r="I7" s="11"/>
      <c r="J7" s="11">
        <v>0</v>
      </c>
      <c r="K7" s="11">
        <v>0</v>
      </c>
      <c r="L7" s="11">
        <v>0</v>
      </c>
      <c r="M7" s="11"/>
      <c r="N7" s="12"/>
      <c r="O7" s="248">
        <f>SUM(Tabla25[[#This Row],[Gener]:[Desembre]])</f>
        <v>0</v>
      </c>
    </row>
    <row r="8" spans="1:19" x14ac:dyDescent="0.25">
      <c r="A8" s="13">
        <v>4</v>
      </c>
      <c r="B8" s="47" t="s">
        <v>2</v>
      </c>
      <c r="C8" s="228"/>
      <c r="D8" s="11">
        <v>0</v>
      </c>
      <c r="E8" s="11"/>
      <c r="F8" s="11"/>
      <c r="G8" s="11">
        <v>0</v>
      </c>
      <c r="H8" s="363">
        <v>0</v>
      </c>
      <c r="I8" s="11"/>
      <c r="J8" s="11">
        <v>0</v>
      </c>
      <c r="K8" s="11">
        <v>0</v>
      </c>
      <c r="L8" s="11">
        <v>0</v>
      </c>
      <c r="M8" s="11"/>
      <c r="N8" s="12"/>
      <c r="O8" s="248">
        <f>SUM(Tabla25[[#This Row],[Gener]:[Desembre]])</f>
        <v>0</v>
      </c>
      <c r="Q8"/>
      <c r="R8" s="305"/>
      <c r="S8" s="306"/>
    </row>
    <row r="9" spans="1:19" x14ac:dyDescent="0.25">
      <c r="A9" s="13">
        <v>5</v>
      </c>
      <c r="B9" s="47" t="s">
        <v>3</v>
      </c>
      <c r="C9" s="228"/>
      <c r="D9" s="11">
        <v>0</v>
      </c>
      <c r="E9" s="11"/>
      <c r="F9" s="11"/>
      <c r="G9" s="11">
        <v>0</v>
      </c>
      <c r="H9" s="363">
        <v>0</v>
      </c>
      <c r="I9" s="11"/>
      <c r="J9" s="11">
        <v>0</v>
      </c>
      <c r="K9" s="11">
        <v>0</v>
      </c>
      <c r="L9" s="11">
        <v>0</v>
      </c>
      <c r="M9" s="11"/>
      <c r="N9" s="12"/>
      <c r="O9" s="248">
        <f>SUM(Tabla25[[#This Row],[Gener]:[Desembre]])</f>
        <v>0</v>
      </c>
      <c r="Q9"/>
      <c r="R9" s="305"/>
      <c r="S9" s="306"/>
    </row>
    <row r="10" spans="1:19" x14ac:dyDescent="0.25">
      <c r="A10" s="13">
        <v>6</v>
      </c>
      <c r="B10" s="47" t="s">
        <v>4</v>
      </c>
      <c r="C10" s="228">
        <v>4600</v>
      </c>
      <c r="D10" s="11">
        <v>5882.51</v>
      </c>
      <c r="E10" s="11">
        <v>6540</v>
      </c>
      <c r="F10" s="11">
        <v>6570.32</v>
      </c>
      <c r="G10" s="11">
        <v>4886.42</v>
      </c>
      <c r="H10" s="363">
        <v>4640</v>
      </c>
      <c r="I10" s="11">
        <v>6669.9</v>
      </c>
      <c r="J10" s="11">
        <v>3200</v>
      </c>
      <c r="K10" s="11">
        <v>7940</v>
      </c>
      <c r="L10" s="11">
        <v>5960</v>
      </c>
      <c r="M10" s="11"/>
      <c r="N10" s="12"/>
      <c r="O10" s="248">
        <f>SUM(Tabla25[[#This Row],[Gener]:[Desembre]])</f>
        <v>56889.15</v>
      </c>
      <c r="Q10"/>
      <c r="R10" s="305"/>
      <c r="S10" s="306"/>
    </row>
    <row r="11" spans="1:19" x14ac:dyDescent="0.25">
      <c r="A11" s="13">
        <v>8</v>
      </c>
      <c r="B11" s="49" t="s">
        <v>7</v>
      </c>
      <c r="C11" s="228"/>
      <c r="D11" s="11">
        <v>0</v>
      </c>
      <c r="E11" s="11"/>
      <c r="F11" s="11"/>
      <c r="G11" s="11">
        <v>0</v>
      </c>
      <c r="H11" s="363">
        <v>0</v>
      </c>
      <c r="I11" s="11"/>
      <c r="J11" s="11">
        <v>0</v>
      </c>
      <c r="K11" s="11">
        <v>0</v>
      </c>
      <c r="L11" s="11">
        <v>0</v>
      </c>
      <c r="M11" s="11"/>
      <c r="N11" s="12"/>
      <c r="O11" s="249">
        <f>SUM(Tabla25[[#This Row],[Gener]:[Desembre]])</f>
        <v>0</v>
      </c>
      <c r="Q11"/>
      <c r="R11" s="305"/>
      <c r="S11" s="306"/>
    </row>
    <row r="12" spans="1:19" x14ac:dyDescent="0.25">
      <c r="A12" s="13">
        <v>9</v>
      </c>
      <c r="B12" s="48" t="s">
        <v>40</v>
      </c>
      <c r="C12" s="228"/>
      <c r="D12" s="11">
        <v>0</v>
      </c>
      <c r="E12" s="11"/>
      <c r="F12" s="11"/>
      <c r="G12" s="11">
        <v>0</v>
      </c>
      <c r="H12" s="363">
        <v>0</v>
      </c>
      <c r="I12" s="11"/>
      <c r="J12" s="11">
        <v>0</v>
      </c>
      <c r="K12" s="11">
        <v>0</v>
      </c>
      <c r="L12" s="11">
        <v>0</v>
      </c>
      <c r="M12" s="11"/>
      <c r="N12" s="12"/>
      <c r="O12" s="248">
        <f>SUM(Tabla25[[#This Row],[Gener]:[Desembre]])</f>
        <v>0</v>
      </c>
      <c r="Q12"/>
      <c r="R12" s="305"/>
      <c r="S12" s="306"/>
    </row>
    <row r="13" spans="1:19" x14ac:dyDescent="0.25">
      <c r="A13" s="13">
        <v>10</v>
      </c>
      <c r="B13" s="46" t="s">
        <v>41</v>
      </c>
      <c r="C13" s="228">
        <v>7400</v>
      </c>
      <c r="D13" s="11">
        <v>6940</v>
      </c>
      <c r="E13" s="11">
        <v>8660</v>
      </c>
      <c r="F13" s="11">
        <v>7280</v>
      </c>
      <c r="G13" s="11">
        <v>8480</v>
      </c>
      <c r="H13" s="363">
        <v>8920</v>
      </c>
      <c r="I13" s="11">
        <v>8260</v>
      </c>
      <c r="J13" s="11">
        <v>5980</v>
      </c>
      <c r="K13" s="11">
        <v>9140</v>
      </c>
      <c r="L13" s="11">
        <v>9220</v>
      </c>
      <c r="M13" s="11"/>
      <c r="N13" s="12"/>
      <c r="O13" s="247">
        <f>SUM(Tabla25[[#This Row],[Gener]:[Desembre]])</f>
        <v>80280</v>
      </c>
      <c r="Q13"/>
      <c r="R13" s="305"/>
      <c r="S13" s="306"/>
    </row>
    <row r="14" spans="1:19" x14ac:dyDescent="0.25">
      <c r="A14" s="13">
        <v>11</v>
      </c>
      <c r="B14" s="47" t="s">
        <v>9</v>
      </c>
      <c r="C14" s="228">
        <f>460+2180+820+33940</f>
        <v>37400</v>
      </c>
      <c r="D14" s="11">
        <v>31007.489999999998</v>
      </c>
      <c r="E14" s="11">
        <v>33420</v>
      </c>
      <c r="F14" s="11">
        <f>3340+909.68+26240</f>
        <v>30489.68</v>
      </c>
      <c r="G14" s="11">
        <v>29953.58</v>
      </c>
      <c r="H14" s="363">
        <v>29640</v>
      </c>
      <c r="I14" s="11">
        <v>37050.1</v>
      </c>
      <c r="J14" s="11">
        <v>26980</v>
      </c>
      <c r="K14" s="11">
        <v>34847.370000000003</v>
      </c>
      <c r="L14" s="11">
        <v>35780</v>
      </c>
      <c r="M14" s="11"/>
      <c r="N14" s="12"/>
      <c r="O14" s="248">
        <f>SUM(Tabla25[[#This Row],[Gener]:[Desembre]])</f>
        <v>326568.22000000003</v>
      </c>
      <c r="Q14"/>
      <c r="R14" s="305"/>
      <c r="S14" s="306"/>
    </row>
    <row r="15" spans="1:19" x14ac:dyDescent="0.25">
      <c r="A15" s="13">
        <v>12</v>
      </c>
      <c r="B15" s="47" t="s">
        <v>10</v>
      </c>
      <c r="C15" s="228"/>
      <c r="D15" s="11">
        <v>0</v>
      </c>
      <c r="E15" s="11"/>
      <c r="F15" s="11"/>
      <c r="G15" s="11">
        <v>0</v>
      </c>
      <c r="H15" s="363">
        <v>0</v>
      </c>
      <c r="I15" s="11"/>
      <c r="J15" s="11">
        <v>0</v>
      </c>
      <c r="K15" s="11">
        <v>0</v>
      </c>
      <c r="L15" s="11">
        <v>0</v>
      </c>
      <c r="M15" s="11"/>
      <c r="N15" s="12"/>
      <c r="O15" s="248">
        <f>SUM(Tabla25[[#This Row],[Gener]:[Desembre]])</f>
        <v>0</v>
      </c>
      <c r="Q15"/>
      <c r="R15" s="305"/>
      <c r="S15" s="306"/>
    </row>
    <row r="16" spans="1:19" x14ac:dyDescent="0.25">
      <c r="A16" s="13">
        <v>13</v>
      </c>
      <c r="B16" s="48" t="s">
        <v>42</v>
      </c>
      <c r="C16" s="228"/>
      <c r="D16" s="11">
        <v>0</v>
      </c>
      <c r="E16" s="11"/>
      <c r="F16" s="11"/>
      <c r="G16" s="11">
        <v>0</v>
      </c>
      <c r="H16" s="363">
        <v>0</v>
      </c>
      <c r="I16" s="11"/>
      <c r="J16" s="11">
        <v>0</v>
      </c>
      <c r="K16" s="11">
        <v>0</v>
      </c>
      <c r="L16" s="11">
        <v>0</v>
      </c>
      <c r="M16" s="11"/>
      <c r="N16" s="12"/>
      <c r="O16" s="248">
        <f>SUM(Tabla25[[#This Row],[Gener]:[Desembre]])</f>
        <v>0</v>
      </c>
      <c r="Q16"/>
      <c r="R16" s="305"/>
      <c r="S16" s="306"/>
    </row>
    <row r="17" spans="1:19" x14ac:dyDescent="0.25">
      <c r="A17" s="13">
        <v>14</v>
      </c>
      <c r="B17" s="47" t="s">
        <v>11</v>
      </c>
      <c r="C17" s="228"/>
      <c r="D17" s="11">
        <v>0</v>
      </c>
      <c r="E17" s="11"/>
      <c r="F17" s="11"/>
      <c r="G17" s="11">
        <v>0</v>
      </c>
      <c r="H17" s="363">
        <v>0</v>
      </c>
      <c r="I17" s="11"/>
      <c r="J17" s="11">
        <v>0</v>
      </c>
      <c r="K17" s="11">
        <v>0</v>
      </c>
      <c r="L17" s="11">
        <v>0</v>
      </c>
      <c r="M17" s="11"/>
      <c r="N17" s="12"/>
      <c r="O17" s="248">
        <f>SUM(Tabla25[[#This Row],[Gener]:[Desembre]])</f>
        <v>0</v>
      </c>
      <c r="Q17"/>
      <c r="R17" s="305"/>
      <c r="S17" s="306"/>
    </row>
    <row r="18" spans="1:19" x14ac:dyDescent="0.25">
      <c r="A18" s="13">
        <v>15</v>
      </c>
      <c r="B18" s="47" t="s">
        <v>12</v>
      </c>
      <c r="C18" s="228"/>
      <c r="D18" s="11">
        <v>0</v>
      </c>
      <c r="E18" s="11"/>
      <c r="F18" s="11"/>
      <c r="G18" s="11">
        <v>0</v>
      </c>
      <c r="H18" s="363">
        <v>0</v>
      </c>
      <c r="I18" s="11"/>
      <c r="J18" s="11">
        <v>0</v>
      </c>
      <c r="K18" s="11">
        <v>0</v>
      </c>
      <c r="L18" s="11">
        <v>0</v>
      </c>
      <c r="M18" s="11"/>
      <c r="N18" s="12"/>
      <c r="O18" s="248">
        <f>SUM(Tabla25[[#This Row],[Gener]:[Desembre]])</f>
        <v>0</v>
      </c>
    </row>
    <row r="19" spans="1:19" x14ac:dyDescent="0.25">
      <c r="A19" s="13">
        <v>16</v>
      </c>
      <c r="B19" s="47" t="s">
        <v>13</v>
      </c>
      <c r="C19" s="228"/>
      <c r="D19" s="11">
        <v>0</v>
      </c>
      <c r="E19" s="11"/>
      <c r="F19" s="11"/>
      <c r="G19" s="11">
        <v>0</v>
      </c>
      <c r="H19" s="363">
        <v>0</v>
      </c>
      <c r="I19" s="11"/>
      <c r="J19" s="11">
        <v>0</v>
      </c>
      <c r="K19" s="11">
        <v>0</v>
      </c>
      <c r="L19" s="11">
        <v>0</v>
      </c>
      <c r="M19" s="11"/>
      <c r="N19" s="12"/>
      <c r="O19" s="248">
        <f>SUM(Tabla25[[#This Row],[Gener]:[Desembre]])</f>
        <v>0</v>
      </c>
    </row>
    <row r="20" spans="1:19" x14ac:dyDescent="0.25">
      <c r="A20" s="13">
        <v>17</v>
      </c>
      <c r="B20" s="47" t="s">
        <v>14</v>
      </c>
      <c r="C20" s="228"/>
      <c r="D20" s="11">
        <v>0</v>
      </c>
      <c r="E20" s="11"/>
      <c r="F20" s="11"/>
      <c r="G20" s="11">
        <v>0</v>
      </c>
      <c r="H20" s="363">
        <v>0</v>
      </c>
      <c r="I20" s="11"/>
      <c r="J20" s="11">
        <v>0</v>
      </c>
      <c r="K20" s="11">
        <v>0</v>
      </c>
      <c r="L20" s="11">
        <v>0</v>
      </c>
      <c r="M20" s="11"/>
      <c r="N20" s="12"/>
      <c r="O20" s="248">
        <f>SUM(Tabla25[[#This Row],[Gener]:[Desembre]])</f>
        <v>0</v>
      </c>
    </row>
    <row r="21" spans="1:19" x14ac:dyDescent="0.25">
      <c r="A21" s="13">
        <v>18</v>
      </c>
      <c r="B21" s="47" t="s">
        <v>15</v>
      </c>
      <c r="C21" s="228">
        <f>3180+18620</f>
        <v>21800</v>
      </c>
      <c r="D21" s="11">
        <v>25880</v>
      </c>
      <c r="E21" s="11">
        <v>28960</v>
      </c>
      <c r="F21" s="11">
        <f>2880+22340</f>
        <v>25220</v>
      </c>
      <c r="G21" s="11">
        <v>25940</v>
      </c>
      <c r="H21" s="363">
        <v>31380</v>
      </c>
      <c r="I21" s="11">
        <v>27900</v>
      </c>
      <c r="J21" s="11">
        <v>17440</v>
      </c>
      <c r="K21" s="11">
        <v>27000</v>
      </c>
      <c r="L21" s="11">
        <v>25200</v>
      </c>
      <c r="M21" s="11"/>
      <c r="N21" s="12"/>
      <c r="O21" s="248">
        <f>SUM(Tabla25[[#This Row],[Gener]:[Desembre]])</f>
        <v>256720</v>
      </c>
    </row>
    <row r="22" spans="1:19" x14ac:dyDescent="0.25">
      <c r="A22" s="13">
        <v>19</v>
      </c>
      <c r="B22" s="47" t="s">
        <v>16</v>
      </c>
      <c r="C22" s="228">
        <v>6720</v>
      </c>
      <c r="D22" s="11">
        <v>5180</v>
      </c>
      <c r="E22" s="11">
        <v>5520</v>
      </c>
      <c r="F22" s="11">
        <v>4880</v>
      </c>
      <c r="G22" s="11">
        <v>5540</v>
      </c>
      <c r="H22" s="363">
        <v>6680</v>
      </c>
      <c r="I22" s="11">
        <v>5200</v>
      </c>
      <c r="J22" s="11">
        <v>2880</v>
      </c>
      <c r="K22" s="11">
        <v>4900</v>
      </c>
      <c r="L22" s="11">
        <v>6020</v>
      </c>
      <c r="M22" s="11"/>
      <c r="N22" s="12"/>
      <c r="O22" s="248">
        <f>SUM(Tabla25[[#This Row],[Gener]:[Desembre]])</f>
        <v>53520</v>
      </c>
    </row>
    <row r="23" spans="1:19" x14ac:dyDescent="0.25">
      <c r="A23" s="13">
        <v>20</v>
      </c>
      <c r="B23" s="47" t="s">
        <v>17</v>
      </c>
      <c r="C23" s="228"/>
      <c r="D23" s="11">
        <v>0</v>
      </c>
      <c r="E23" s="11"/>
      <c r="F23" s="11"/>
      <c r="G23" s="11">
        <v>0</v>
      </c>
      <c r="H23" s="363">
        <v>0</v>
      </c>
      <c r="I23" s="11"/>
      <c r="J23" s="11">
        <v>0</v>
      </c>
      <c r="K23" s="11">
        <v>0</v>
      </c>
      <c r="L23" s="11">
        <v>0</v>
      </c>
      <c r="M23" s="11"/>
      <c r="N23" s="12"/>
      <c r="O23" s="248">
        <f>SUM(Tabla25[[#This Row],[Gener]:[Desembre]])</f>
        <v>0</v>
      </c>
    </row>
    <row r="24" spans="1:19" x14ac:dyDescent="0.25">
      <c r="A24" s="13">
        <v>21</v>
      </c>
      <c r="B24" s="47" t="s">
        <v>18</v>
      </c>
      <c r="C24" s="228"/>
      <c r="D24" s="11">
        <v>0</v>
      </c>
      <c r="E24" s="11"/>
      <c r="F24" s="11"/>
      <c r="G24" s="11">
        <v>0</v>
      </c>
      <c r="H24" s="363">
        <v>0</v>
      </c>
      <c r="I24" s="11"/>
      <c r="J24" s="11">
        <v>0</v>
      </c>
      <c r="K24" s="11">
        <v>0</v>
      </c>
      <c r="L24" s="11">
        <v>0</v>
      </c>
      <c r="M24" s="11"/>
      <c r="N24" s="12"/>
      <c r="O24" s="248">
        <f>SUM(Tabla25[[#This Row],[Gener]:[Desembre]])</f>
        <v>0</v>
      </c>
    </row>
    <row r="25" spans="1:19" x14ac:dyDescent="0.25">
      <c r="A25" s="13">
        <v>22</v>
      </c>
      <c r="B25" s="47" t="s">
        <v>19</v>
      </c>
      <c r="C25" s="228">
        <v>5060</v>
      </c>
      <c r="D25" s="11">
        <v>4940</v>
      </c>
      <c r="E25" s="11">
        <v>6460</v>
      </c>
      <c r="F25" s="11">
        <v>5900</v>
      </c>
      <c r="G25" s="11">
        <v>5240</v>
      </c>
      <c r="H25" s="363">
        <v>5220</v>
      </c>
      <c r="I25" s="11">
        <v>4320</v>
      </c>
      <c r="J25" s="11">
        <v>2680</v>
      </c>
      <c r="K25" s="11">
        <v>4160</v>
      </c>
      <c r="L25" s="11">
        <v>5480</v>
      </c>
      <c r="M25" s="11"/>
      <c r="N25" s="12"/>
      <c r="O25" s="248">
        <f>SUM(Tabla25[[#This Row],[Gener]:[Desembre]])</f>
        <v>49460</v>
      </c>
    </row>
    <row r="26" spans="1:19" x14ac:dyDescent="0.25">
      <c r="A26" s="13">
        <v>23</v>
      </c>
      <c r="B26" s="48" t="s">
        <v>43</v>
      </c>
      <c r="C26" s="228"/>
      <c r="D26" s="11">
        <v>0</v>
      </c>
      <c r="E26" s="11"/>
      <c r="F26" s="11"/>
      <c r="G26" s="11">
        <v>0</v>
      </c>
      <c r="H26" s="363">
        <v>0</v>
      </c>
      <c r="I26" s="11"/>
      <c r="J26" s="11">
        <v>0</v>
      </c>
      <c r="K26" s="11">
        <v>0</v>
      </c>
      <c r="L26" s="11">
        <v>0</v>
      </c>
      <c r="M26" s="11"/>
      <c r="N26" s="12"/>
      <c r="O26" s="248">
        <f>SUM(Tabla25[[#This Row],[Gener]:[Desembre]])</f>
        <v>0</v>
      </c>
    </row>
    <row r="27" spans="1:19" x14ac:dyDescent="0.25">
      <c r="A27" s="13">
        <v>24</v>
      </c>
      <c r="B27" s="48" t="s">
        <v>44</v>
      </c>
      <c r="C27" s="229">
        <v>13800</v>
      </c>
      <c r="D27" s="230">
        <v>12340</v>
      </c>
      <c r="E27" s="230">
        <v>14380</v>
      </c>
      <c r="F27" s="230">
        <v>13740</v>
      </c>
      <c r="G27" s="230">
        <v>17600</v>
      </c>
      <c r="H27" s="365">
        <v>12480</v>
      </c>
      <c r="I27" s="231">
        <v>14240</v>
      </c>
      <c r="J27" s="232">
        <v>15740</v>
      </c>
      <c r="K27" s="11">
        <f>13740+2520</f>
        <v>16260</v>
      </c>
      <c r="L27" s="11">
        <v>13720</v>
      </c>
      <c r="M27" s="11"/>
      <c r="N27" s="12"/>
      <c r="O27" s="248">
        <f>SUM(Tabla25[[#This Row],[Gener]:[Desembre]])</f>
        <v>144300</v>
      </c>
    </row>
    <row r="28" spans="1:19" x14ac:dyDescent="0.25">
      <c r="A28" s="13">
        <v>25</v>
      </c>
      <c r="B28" s="47" t="s">
        <v>20</v>
      </c>
      <c r="C28" s="228"/>
      <c r="D28" s="11">
        <v>0</v>
      </c>
      <c r="E28" s="11"/>
      <c r="F28" s="11"/>
      <c r="G28" s="11">
        <v>0</v>
      </c>
      <c r="H28" s="363">
        <v>0</v>
      </c>
      <c r="I28" s="11"/>
      <c r="J28" s="11">
        <v>0</v>
      </c>
      <c r="K28" s="11"/>
      <c r="L28" s="11">
        <v>0</v>
      </c>
      <c r="M28" s="11"/>
      <c r="N28" s="12"/>
      <c r="O28" s="248">
        <f>SUM(Tabla25[[#This Row],[Gener]:[Desembre]])</f>
        <v>0</v>
      </c>
    </row>
    <row r="29" spans="1:19" x14ac:dyDescent="0.25">
      <c r="A29" s="13">
        <v>26</v>
      </c>
      <c r="B29" s="48" t="s">
        <v>45</v>
      </c>
      <c r="C29" s="228">
        <v>5840</v>
      </c>
      <c r="D29" s="11">
        <v>5380</v>
      </c>
      <c r="E29" s="11">
        <v>6820</v>
      </c>
      <c r="F29" s="11">
        <v>5520</v>
      </c>
      <c r="G29" s="11">
        <v>5840</v>
      </c>
      <c r="H29" s="363">
        <v>7800</v>
      </c>
      <c r="I29" s="11">
        <v>6220</v>
      </c>
      <c r="J29" s="11">
        <v>5580</v>
      </c>
      <c r="K29" s="11">
        <v>7460</v>
      </c>
      <c r="L29" s="11">
        <v>5380</v>
      </c>
      <c r="M29" s="11"/>
      <c r="N29" s="12"/>
      <c r="O29" s="248">
        <f>SUM(Tabla25[[#This Row],[Gener]:[Desembre]])</f>
        <v>61840</v>
      </c>
    </row>
    <row r="30" spans="1:19" x14ac:dyDescent="0.25">
      <c r="A30" s="13">
        <v>27</v>
      </c>
      <c r="B30" s="48" t="s">
        <v>46</v>
      </c>
      <c r="C30" s="229"/>
      <c r="D30" s="230">
        <v>0</v>
      </c>
      <c r="E30" s="230"/>
      <c r="F30" s="230"/>
      <c r="G30" s="11">
        <v>0</v>
      </c>
      <c r="H30" s="363">
        <v>0</v>
      </c>
      <c r="I30" s="11"/>
      <c r="J30" s="11">
        <v>0</v>
      </c>
      <c r="K30" s="11">
        <v>0</v>
      </c>
      <c r="L30" s="11">
        <v>0</v>
      </c>
      <c r="M30" s="11"/>
      <c r="N30" s="12"/>
      <c r="O30" s="248">
        <f>SUM(Tabla25[[#This Row],[Gener]:[Desembre]])</f>
        <v>0</v>
      </c>
    </row>
    <row r="31" spans="1:19" x14ac:dyDescent="0.25">
      <c r="A31" s="13">
        <v>28</v>
      </c>
      <c r="B31" s="48" t="s">
        <v>47</v>
      </c>
      <c r="C31" s="228"/>
      <c r="D31" s="11">
        <v>0</v>
      </c>
      <c r="E31" s="11"/>
      <c r="F31" s="11"/>
      <c r="G31" s="11">
        <v>0</v>
      </c>
      <c r="H31" s="363">
        <v>0</v>
      </c>
      <c r="I31" s="11"/>
      <c r="J31" s="11">
        <v>0</v>
      </c>
      <c r="K31" s="11">
        <v>0</v>
      </c>
      <c r="L31" s="11">
        <v>0</v>
      </c>
      <c r="M31" s="11"/>
      <c r="N31" s="12"/>
      <c r="O31" s="248">
        <f>SUM(Tabla25[[#This Row],[Gener]:[Desembre]])</f>
        <v>0</v>
      </c>
    </row>
    <row r="32" spans="1:19" x14ac:dyDescent="0.25">
      <c r="A32" s="13">
        <v>29</v>
      </c>
      <c r="B32" s="48" t="s">
        <v>48</v>
      </c>
      <c r="C32" s="228"/>
      <c r="D32" s="11">
        <v>0</v>
      </c>
      <c r="E32" s="11"/>
      <c r="F32" s="11"/>
      <c r="G32" s="11">
        <v>0</v>
      </c>
      <c r="H32" s="363">
        <v>0</v>
      </c>
      <c r="I32" s="11"/>
      <c r="J32" s="11">
        <v>0</v>
      </c>
      <c r="K32" s="11">
        <v>0</v>
      </c>
      <c r="L32" s="11">
        <v>0</v>
      </c>
      <c r="M32" s="11"/>
      <c r="N32" s="12"/>
      <c r="O32" s="248">
        <f>SUM(Tabla25[[#This Row],[Gener]:[Desembre]])</f>
        <v>0</v>
      </c>
    </row>
    <row r="33" spans="1:15" x14ac:dyDescent="0.25">
      <c r="A33" s="13">
        <v>30</v>
      </c>
      <c r="B33" s="48" t="s">
        <v>50</v>
      </c>
      <c r="C33" s="228">
        <v>15060</v>
      </c>
      <c r="D33" s="11">
        <v>13380</v>
      </c>
      <c r="E33" s="11">
        <v>15360</v>
      </c>
      <c r="F33" s="11">
        <v>13240</v>
      </c>
      <c r="G33" s="11">
        <v>13660</v>
      </c>
      <c r="H33" s="363">
        <v>20620</v>
      </c>
      <c r="I33" s="11">
        <v>14320</v>
      </c>
      <c r="J33" s="11">
        <v>11540</v>
      </c>
      <c r="K33" s="11">
        <v>16640</v>
      </c>
      <c r="L33" s="11">
        <v>13400</v>
      </c>
      <c r="M33" s="11"/>
      <c r="N33" s="12"/>
      <c r="O33" s="248">
        <f>SUM(Tabla25[[#This Row],[Gener]:[Desembre]])</f>
        <v>147220</v>
      </c>
    </row>
    <row r="34" spans="1:15" x14ac:dyDescent="0.25">
      <c r="A34" s="13">
        <v>31</v>
      </c>
      <c r="B34" s="48" t="s">
        <v>51</v>
      </c>
      <c r="C34" s="228"/>
      <c r="D34" s="11">
        <v>0</v>
      </c>
      <c r="E34" s="11"/>
      <c r="F34" s="11"/>
      <c r="G34" s="11">
        <v>0</v>
      </c>
      <c r="H34" s="363">
        <v>0</v>
      </c>
      <c r="I34" s="11"/>
      <c r="J34" s="11">
        <v>0</v>
      </c>
      <c r="K34" s="11">
        <v>0</v>
      </c>
      <c r="L34" s="11">
        <v>0</v>
      </c>
      <c r="M34" s="11"/>
      <c r="N34" s="12"/>
      <c r="O34" s="248">
        <f>SUM(Tabla25[[#This Row],[Gener]:[Desembre]])</f>
        <v>0</v>
      </c>
    </row>
    <row r="35" spans="1:15" x14ac:dyDescent="0.25">
      <c r="A35" s="13">
        <v>32</v>
      </c>
      <c r="B35" s="48" t="s">
        <v>52</v>
      </c>
      <c r="C35" s="228"/>
      <c r="D35" s="11">
        <v>0</v>
      </c>
      <c r="E35" s="11"/>
      <c r="F35" s="11"/>
      <c r="G35" s="11">
        <v>0</v>
      </c>
      <c r="H35" s="363">
        <v>0</v>
      </c>
      <c r="I35" s="11"/>
      <c r="J35" s="11">
        <v>0</v>
      </c>
      <c r="K35" s="11">
        <v>0</v>
      </c>
      <c r="L35" s="11">
        <v>0</v>
      </c>
      <c r="M35" s="11"/>
      <c r="N35" s="12"/>
      <c r="O35" s="248">
        <f>SUM(Tabla25[[#This Row],[Gener]:[Desembre]])</f>
        <v>0</v>
      </c>
    </row>
    <row r="36" spans="1:15" x14ac:dyDescent="0.25">
      <c r="A36" s="13">
        <v>33</v>
      </c>
      <c r="B36" s="47" t="s">
        <v>21</v>
      </c>
      <c r="C36" s="228"/>
      <c r="D36" s="11">
        <v>0</v>
      </c>
      <c r="E36" s="11"/>
      <c r="F36" s="11"/>
      <c r="G36" s="11">
        <v>0</v>
      </c>
      <c r="H36" s="363">
        <v>0</v>
      </c>
      <c r="I36" s="11"/>
      <c r="J36" s="11">
        <v>0</v>
      </c>
      <c r="K36" s="11">
        <v>0</v>
      </c>
      <c r="L36" s="11">
        <v>0</v>
      </c>
      <c r="M36" s="11"/>
      <c r="N36" s="12"/>
      <c r="O36" s="248">
        <f>SUM(Tabla25[[#This Row],[Gener]:[Desembre]])</f>
        <v>0</v>
      </c>
    </row>
    <row r="37" spans="1:15" x14ac:dyDescent="0.25">
      <c r="A37" s="13">
        <v>34</v>
      </c>
      <c r="B37" s="47" t="s">
        <v>22</v>
      </c>
      <c r="C37" s="228"/>
      <c r="D37" s="11">
        <v>0</v>
      </c>
      <c r="E37" s="11"/>
      <c r="F37" s="11"/>
      <c r="G37" s="11">
        <v>0</v>
      </c>
      <c r="H37" s="363">
        <v>0</v>
      </c>
      <c r="I37" s="11"/>
      <c r="J37" s="11">
        <v>0</v>
      </c>
      <c r="K37" s="11">
        <v>0</v>
      </c>
      <c r="L37" s="11">
        <v>0</v>
      </c>
      <c r="M37" s="11"/>
      <c r="N37" s="12"/>
      <c r="O37" s="248">
        <f>SUM(Tabla25[[#This Row],[Gener]:[Desembre]])</f>
        <v>0</v>
      </c>
    </row>
    <row r="38" spans="1:15" x14ac:dyDescent="0.25">
      <c r="A38" s="13">
        <v>35</v>
      </c>
      <c r="B38" s="47" t="s">
        <v>23</v>
      </c>
      <c r="C38" s="228"/>
      <c r="D38" s="11">
        <v>0</v>
      </c>
      <c r="E38" s="11"/>
      <c r="F38" s="11"/>
      <c r="G38" s="11">
        <v>0</v>
      </c>
      <c r="H38" s="363">
        <v>0</v>
      </c>
      <c r="I38" s="11"/>
      <c r="J38" s="11">
        <v>0</v>
      </c>
      <c r="K38" s="11">
        <v>0</v>
      </c>
      <c r="L38" s="11">
        <v>0</v>
      </c>
      <c r="M38" s="11"/>
      <c r="N38" s="12"/>
      <c r="O38" s="248">
        <f>SUM(Tabla25[[#This Row],[Gener]:[Desembre]])</f>
        <v>0</v>
      </c>
    </row>
    <row r="39" spans="1:15" x14ac:dyDescent="0.25">
      <c r="A39" s="13">
        <v>36</v>
      </c>
      <c r="B39" s="47" t="s">
        <v>24</v>
      </c>
      <c r="C39" s="228"/>
      <c r="D39" s="11">
        <v>0</v>
      </c>
      <c r="E39" s="11"/>
      <c r="F39" s="11"/>
      <c r="G39" s="11">
        <v>0</v>
      </c>
      <c r="H39" s="363">
        <v>0</v>
      </c>
      <c r="I39" s="11"/>
      <c r="J39" s="11">
        <v>0</v>
      </c>
      <c r="K39" s="11">
        <v>0</v>
      </c>
      <c r="L39" s="11">
        <v>0</v>
      </c>
      <c r="M39" s="11"/>
      <c r="N39" s="12"/>
      <c r="O39" s="248">
        <f>SUM(Tabla25[[#This Row],[Gener]:[Desembre]])</f>
        <v>0</v>
      </c>
    </row>
    <row r="40" spans="1:15" x14ac:dyDescent="0.25">
      <c r="A40" s="13">
        <v>37</v>
      </c>
      <c r="B40" s="47" t="s">
        <v>25</v>
      </c>
      <c r="C40" s="228"/>
      <c r="D40" s="11">
        <v>0</v>
      </c>
      <c r="E40" s="11"/>
      <c r="F40" s="11"/>
      <c r="G40" s="11">
        <v>0</v>
      </c>
      <c r="H40" s="363">
        <v>0</v>
      </c>
      <c r="I40" s="11"/>
      <c r="J40" s="11">
        <v>0</v>
      </c>
      <c r="K40" s="11">
        <v>0</v>
      </c>
      <c r="L40" s="11">
        <v>0</v>
      </c>
      <c r="M40" s="11"/>
      <c r="N40" s="12"/>
      <c r="O40" s="248">
        <f>SUM(Tabla25[[#This Row],[Gener]:[Desembre]])</f>
        <v>0</v>
      </c>
    </row>
    <row r="41" spans="1:15" x14ac:dyDescent="0.25">
      <c r="A41" s="13">
        <v>38</v>
      </c>
      <c r="B41" s="47" t="s">
        <v>5</v>
      </c>
      <c r="C41" s="228"/>
      <c r="D41" s="11">
        <v>0</v>
      </c>
      <c r="E41" s="11"/>
      <c r="F41" s="11"/>
      <c r="G41" s="11">
        <v>0</v>
      </c>
      <c r="H41" s="363">
        <v>0</v>
      </c>
      <c r="I41" s="11"/>
      <c r="J41" s="11">
        <v>0</v>
      </c>
      <c r="K41" s="11">
        <v>0</v>
      </c>
      <c r="L41" s="11">
        <v>0</v>
      </c>
      <c r="M41" s="11"/>
      <c r="N41" s="12"/>
      <c r="O41" s="248">
        <f>SUM(Tabla25[[#This Row],[Gener]:[Desembre]])</f>
        <v>0</v>
      </c>
    </row>
    <row r="42" spans="1:15" x14ac:dyDescent="0.25">
      <c r="A42" s="13">
        <v>39</v>
      </c>
      <c r="B42" s="47" t="s">
        <v>6</v>
      </c>
      <c r="C42" s="229">
        <v>6200</v>
      </c>
      <c r="D42" s="230">
        <v>5620</v>
      </c>
      <c r="E42" s="230">
        <v>6360</v>
      </c>
      <c r="F42" s="230">
        <v>5760</v>
      </c>
      <c r="G42" s="230">
        <v>5980</v>
      </c>
      <c r="H42" s="365">
        <v>7440</v>
      </c>
      <c r="I42" s="231">
        <v>6900</v>
      </c>
      <c r="J42" s="232">
        <v>6920</v>
      </c>
      <c r="K42" s="11">
        <v>7340</v>
      </c>
      <c r="L42" s="11">
        <v>6520</v>
      </c>
      <c r="M42" s="11"/>
      <c r="N42" s="12"/>
      <c r="O42" s="248">
        <f>SUM(Tabla25[[#This Row],[Gener]:[Desembre]])</f>
        <v>65040</v>
      </c>
    </row>
    <row r="43" spans="1:15" x14ac:dyDescent="0.25">
      <c r="A43" s="13">
        <v>40</v>
      </c>
      <c r="B43" s="47" t="s">
        <v>8</v>
      </c>
      <c r="C43" s="44"/>
      <c r="D43" s="35">
        <v>0</v>
      </c>
      <c r="E43" s="35"/>
      <c r="F43" s="35"/>
      <c r="G43" s="35">
        <v>0</v>
      </c>
      <c r="H43" s="364">
        <v>0</v>
      </c>
      <c r="I43" s="35"/>
      <c r="J43" s="35">
        <v>0</v>
      </c>
      <c r="K43" s="35">
        <v>0</v>
      </c>
      <c r="L43" s="35">
        <v>0</v>
      </c>
      <c r="M43" s="35"/>
      <c r="N43" s="36"/>
      <c r="O43" s="248">
        <f>SUM(Tabla25[[#This Row],[Gener]:[Desembre]])</f>
        <v>0</v>
      </c>
    </row>
    <row r="44" spans="1:15" ht="15.75" thickBot="1" x14ac:dyDescent="0.3">
      <c r="A44" s="95">
        <v>41</v>
      </c>
      <c r="B44" s="99" t="s">
        <v>49</v>
      </c>
      <c r="C44" s="44"/>
      <c r="D44" s="35">
        <v>0</v>
      </c>
      <c r="E44" s="35"/>
      <c r="F44" s="22"/>
      <c r="G44" s="22">
        <v>0</v>
      </c>
      <c r="H44" s="366">
        <v>0</v>
      </c>
      <c r="I44" s="22"/>
      <c r="J44" s="35">
        <v>0</v>
      </c>
      <c r="K44" s="35">
        <v>0</v>
      </c>
      <c r="L44" s="22">
        <v>0</v>
      </c>
      <c r="M44" s="22"/>
      <c r="N44" s="37"/>
      <c r="O44" s="249">
        <f>SUM(Tabla25[[#This Row],[Gener]:[Desembre]])</f>
        <v>0</v>
      </c>
    </row>
    <row r="45" spans="1:15" s="4" customFormat="1" ht="15.75" thickBot="1" x14ac:dyDescent="0.3">
      <c r="A45" s="96"/>
      <c r="B45" s="23" t="s">
        <v>135</v>
      </c>
      <c r="C45" s="43">
        <f t="shared" ref="C45:L45" si="0">SUBTOTAL(109,C5:C44)</f>
        <v>125720</v>
      </c>
      <c r="D45" s="6">
        <f t="shared" si="0"/>
        <v>118430</v>
      </c>
      <c r="E45" s="6">
        <f t="shared" si="0"/>
        <v>134180</v>
      </c>
      <c r="F45" s="6">
        <f t="shared" si="0"/>
        <v>120220</v>
      </c>
      <c r="G45" s="6">
        <f t="shared" si="0"/>
        <v>125140</v>
      </c>
      <c r="H45" s="6">
        <f t="shared" si="0"/>
        <v>136680</v>
      </c>
      <c r="I45" s="6">
        <f t="shared" si="0"/>
        <v>133820</v>
      </c>
      <c r="J45" s="6">
        <f t="shared" si="0"/>
        <v>100200</v>
      </c>
      <c r="K45" s="6">
        <f t="shared" si="0"/>
        <v>137147.37</v>
      </c>
      <c r="L45" s="6">
        <f t="shared" si="0"/>
        <v>128480</v>
      </c>
      <c r="M45" s="6">
        <f>SUM(M5:M44)</f>
        <v>0</v>
      </c>
      <c r="N45" s="6">
        <f>SUM(N5:N44)</f>
        <v>0</v>
      </c>
      <c r="O45" s="8">
        <f>SUBTOTAL(109,O5:O44)</f>
        <v>1260017.3700000001</v>
      </c>
    </row>
    <row r="46" spans="1:15" ht="15.75" thickBot="1" x14ac:dyDescent="0.3">
      <c r="A46" s="97"/>
      <c r="B46" s="50" t="s">
        <v>124</v>
      </c>
      <c r="C46" s="45">
        <v>154976</v>
      </c>
      <c r="D46" s="38">
        <v>139800</v>
      </c>
      <c r="E46" s="38">
        <v>106340</v>
      </c>
      <c r="F46" s="38">
        <v>87840</v>
      </c>
      <c r="G46" s="38">
        <v>107610</v>
      </c>
      <c r="H46" s="38">
        <v>131351.43</v>
      </c>
      <c r="I46" s="38">
        <v>158280</v>
      </c>
      <c r="J46" s="38">
        <v>100841</v>
      </c>
      <c r="K46" s="38">
        <v>149520</v>
      </c>
      <c r="L46" s="38">
        <v>142480</v>
      </c>
      <c r="M46" s="38">
        <v>125420</v>
      </c>
      <c r="N46" s="40">
        <v>155280</v>
      </c>
      <c r="O46" s="42">
        <f>SUM(Tabla25[[#This Row],[Gener]:[Desembre]])</f>
        <v>1559738.43</v>
      </c>
    </row>
    <row r="47" spans="1:15" x14ac:dyDescent="0.25">
      <c r="A47" s="98"/>
      <c r="B47" s="86" t="s">
        <v>58</v>
      </c>
      <c r="C47" s="88">
        <f>(C45/C46)-1</f>
        <v>-0.1887776171794342</v>
      </c>
      <c r="D47" s="88">
        <f>(D45/D46)-1</f>
        <v>-0.15286123032904153</v>
      </c>
      <c r="E47" s="88">
        <f t="shared" ref="E47:O47" si="1">(E45/E46)-1</f>
        <v>0.26180176791423726</v>
      </c>
      <c r="F47" s="88">
        <f t="shared" si="1"/>
        <v>0.36862477231329693</v>
      </c>
      <c r="G47" s="88">
        <f t="shared" si="1"/>
        <v>0.16290307592231201</v>
      </c>
      <c r="H47" s="88">
        <f t="shared" si="1"/>
        <v>4.0567278178851973E-2</v>
      </c>
      <c r="I47" s="88">
        <f t="shared" si="1"/>
        <v>-0.15453626484710636</v>
      </c>
      <c r="J47" s="88">
        <f t="shared" si="1"/>
        <v>-6.3565414861018743E-3</v>
      </c>
      <c r="K47" s="88">
        <f t="shared" si="1"/>
        <v>-8.2748996789727136E-2</v>
      </c>
      <c r="L47" s="88">
        <f t="shared" si="1"/>
        <v>-9.8259404828747843E-2</v>
      </c>
      <c r="M47" s="88">
        <f t="shared" si="1"/>
        <v>-1</v>
      </c>
      <c r="N47" s="88">
        <f t="shared" si="1"/>
        <v>-1</v>
      </c>
      <c r="O47" s="88">
        <f t="shared" si="1"/>
        <v>-0.19216110485910121</v>
      </c>
    </row>
    <row r="48" spans="1:15" x14ac:dyDescent="0.2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5:16" x14ac:dyDescent="0.25">
      <c r="P49" s="21"/>
    </row>
    <row r="50" spans="5:16" x14ac:dyDescent="0.25">
      <c r="E50" s="87"/>
      <c r="H50" s="89"/>
      <c r="P50" s="21"/>
    </row>
  </sheetData>
  <sheetProtection sheet="1" objects="1" scenarios="1"/>
  <pageMargins left="0.19685039370078741" right="0.23622047244094491" top="0.39370078740157483" bottom="0.47" header="0.19685039370078741" footer="0.26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Zeros="0" zoomScale="90" zoomScaleNormal="90" workbookViewId="0">
      <pane xSplit="2" ySplit="3" topLeftCell="C4" activePane="bottomRight" state="frozen"/>
      <selection activeCell="B45" sqref="B45"/>
      <selection pane="topRight" activeCell="B45" sqref="B45"/>
      <selection pane="bottomLeft" activeCell="B45" sqref="B45"/>
      <selection pane="bottomRight" activeCell="S54" sqref="S54"/>
    </sheetView>
  </sheetViews>
  <sheetFormatPr baseColWidth="10" defaultColWidth="11.42578125" defaultRowHeight="15" x14ac:dyDescent="0.25"/>
  <cols>
    <col min="1" max="1" width="5.28515625" style="3" customWidth="1"/>
    <col min="2" max="2" width="26.140625" style="20" bestFit="1" customWidth="1"/>
    <col min="3" max="10" width="11.42578125" style="2"/>
    <col min="11" max="11" width="11.42578125" style="2" customWidth="1"/>
    <col min="12" max="12" width="11.42578125" style="2"/>
    <col min="13" max="14" width="11.42578125" style="2" customWidth="1"/>
    <col min="15" max="15" width="11.42578125" style="2"/>
    <col min="16" max="16384" width="11.42578125" style="3"/>
  </cols>
  <sheetData>
    <row r="1" spans="1:15" ht="15.75" x14ac:dyDescent="0.25">
      <c r="B1" s="1" t="s">
        <v>137</v>
      </c>
    </row>
    <row r="2" spans="1:15" ht="15.75" thickBot="1" x14ac:dyDescent="0.3">
      <c r="C2" s="4" t="s">
        <v>53</v>
      </c>
    </row>
    <row r="3" spans="1:15" ht="15.75" thickBot="1" x14ac:dyDescent="0.3">
      <c r="A3" s="8" t="s">
        <v>60</v>
      </c>
      <c r="B3" s="23" t="s">
        <v>57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8" t="s">
        <v>38</v>
      </c>
    </row>
    <row r="4" spans="1:15" x14ac:dyDescent="0.25">
      <c r="A4" s="107">
        <v>1</v>
      </c>
      <c r="B4" s="104" t="s">
        <v>39</v>
      </c>
      <c r="C4" s="57">
        <v>14072.7</v>
      </c>
      <c r="D4" s="52">
        <v>12755.02</v>
      </c>
      <c r="E4" s="73">
        <v>14938.91</v>
      </c>
      <c r="F4" s="9">
        <v>13768.96</v>
      </c>
      <c r="G4" s="9">
        <v>13836.76</v>
      </c>
      <c r="H4" s="9">
        <v>16354</v>
      </c>
      <c r="I4" s="9">
        <v>16409</v>
      </c>
      <c r="J4" s="9">
        <v>14410.24</v>
      </c>
      <c r="K4" s="9">
        <v>13700.93</v>
      </c>
      <c r="L4" s="9">
        <v>12505.13</v>
      </c>
      <c r="M4" s="9"/>
      <c r="N4" s="10"/>
      <c r="O4" s="143">
        <f>SUM(Tabla3[[#This Row],[Gener]:[Desembre]])</f>
        <v>142751.65000000002</v>
      </c>
    </row>
    <row r="5" spans="1:15" x14ac:dyDescent="0.25">
      <c r="A5" s="13">
        <v>2</v>
      </c>
      <c r="B5" s="105" t="s">
        <v>0</v>
      </c>
      <c r="C5" s="58">
        <v>12581.61</v>
      </c>
      <c r="D5" s="54">
        <v>11720.36</v>
      </c>
      <c r="E5" s="74">
        <v>14527.47</v>
      </c>
      <c r="F5" s="11">
        <v>14507.25</v>
      </c>
      <c r="G5" s="11">
        <v>15177.25</v>
      </c>
      <c r="H5" s="11">
        <v>13657.73</v>
      </c>
      <c r="I5" s="11">
        <v>15322.72</v>
      </c>
      <c r="J5" s="11">
        <v>16001</v>
      </c>
      <c r="K5" s="11">
        <v>14585.86</v>
      </c>
      <c r="L5" s="11">
        <v>12035.61</v>
      </c>
      <c r="M5" s="11"/>
      <c r="N5" s="12"/>
      <c r="O5" s="144">
        <f>SUM(Tabla3[[#This Row],[Gener]:[Desembre]])</f>
        <v>140116.85999999999</v>
      </c>
    </row>
    <row r="6" spans="1:15" x14ac:dyDescent="0.25">
      <c r="A6" s="13">
        <v>3</v>
      </c>
      <c r="B6" s="105" t="s">
        <v>1</v>
      </c>
      <c r="C6" s="58">
        <v>44005.09</v>
      </c>
      <c r="D6" s="54">
        <f>25805.23+16918.57</f>
        <v>42723.8</v>
      </c>
      <c r="E6" s="74">
        <v>47400</v>
      </c>
      <c r="F6" s="11">
        <v>47720</v>
      </c>
      <c r="G6" s="11">
        <v>50120</v>
      </c>
      <c r="H6" s="11">
        <v>49540</v>
      </c>
      <c r="I6" s="11">
        <v>50448.26</v>
      </c>
      <c r="J6" s="11">
        <v>46887.82</v>
      </c>
      <c r="K6" s="11">
        <v>48851.82</v>
      </c>
      <c r="L6" s="11">
        <v>48840</v>
      </c>
      <c r="M6" s="11"/>
      <c r="N6" s="12"/>
      <c r="O6" s="144">
        <f>SUM(Tabla3[[#This Row],[Gener]:[Desembre]])</f>
        <v>476536.79000000004</v>
      </c>
    </row>
    <row r="7" spans="1:15" x14ac:dyDescent="0.25">
      <c r="A7" s="13">
        <v>4</v>
      </c>
      <c r="B7" s="105" t="s">
        <v>2</v>
      </c>
      <c r="C7" s="58">
        <v>1093.32</v>
      </c>
      <c r="D7" s="54">
        <v>1082.3699999999999</v>
      </c>
      <c r="E7" s="74">
        <v>1661.5</v>
      </c>
      <c r="F7" s="11">
        <v>1411.37</v>
      </c>
      <c r="G7" s="11">
        <v>1509.18</v>
      </c>
      <c r="H7" s="11">
        <v>1900.38</v>
      </c>
      <c r="I7" s="11">
        <v>1781.45</v>
      </c>
      <c r="J7" s="11">
        <v>1917.65</v>
      </c>
      <c r="K7" s="11">
        <v>1707.29</v>
      </c>
      <c r="L7" s="11">
        <v>1323.73</v>
      </c>
      <c r="M7" s="11"/>
      <c r="N7" s="12"/>
      <c r="O7" s="144">
        <f>SUM(Tabla3[[#This Row],[Gener]:[Desembre]])</f>
        <v>15388.239999999998</v>
      </c>
    </row>
    <row r="8" spans="1:15" x14ac:dyDescent="0.25">
      <c r="A8" s="13">
        <v>5</v>
      </c>
      <c r="B8" s="105" t="s">
        <v>3</v>
      </c>
      <c r="C8" s="58">
        <v>16630.77</v>
      </c>
      <c r="D8" s="54">
        <v>15780</v>
      </c>
      <c r="E8" s="74">
        <v>18680</v>
      </c>
      <c r="F8" s="11">
        <v>18360</v>
      </c>
      <c r="G8" s="11">
        <v>16500</v>
      </c>
      <c r="H8" s="11">
        <v>18760</v>
      </c>
      <c r="I8" s="11">
        <v>19000</v>
      </c>
      <c r="J8" s="11">
        <v>16580</v>
      </c>
      <c r="K8" s="11">
        <v>17500</v>
      </c>
      <c r="L8" s="11">
        <v>19000</v>
      </c>
      <c r="M8" s="11"/>
      <c r="N8" s="12"/>
      <c r="O8" s="144">
        <f>SUM(Tabla3[[#This Row],[Gener]:[Desembre]])</f>
        <v>176790.77000000002</v>
      </c>
    </row>
    <row r="9" spans="1:15" x14ac:dyDescent="0.25">
      <c r="A9" s="13">
        <v>6</v>
      </c>
      <c r="B9" s="105" t="s">
        <v>4</v>
      </c>
      <c r="C9" s="58">
        <v>31895.360000000001</v>
      </c>
      <c r="D9" s="54">
        <v>31241.57</v>
      </c>
      <c r="E9" s="74">
        <v>38317.17</v>
      </c>
      <c r="F9" s="11">
        <v>31092.92</v>
      </c>
      <c r="G9" s="11">
        <v>33663.14</v>
      </c>
      <c r="H9" s="11">
        <v>33454.51</v>
      </c>
      <c r="I9" s="11">
        <v>34140.959999999999</v>
      </c>
      <c r="J9" s="11">
        <v>30758.92</v>
      </c>
      <c r="K9" s="11">
        <v>31423.5</v>
      </c>
      <c r="L9" s="11">
        <v>31482.52</v>
      </c>
      <c r="M9" s="11"/>
      <c r="N9" s="12"/>
      <c r="O9" s="144">
        <f>SUM(Tabla3[[#This Row],[Gener]:[Desembre]])</f>
        <v>327470.57000000007</v>
      </c>
    </row>
    <row r="10" spans="1:15" x14ac:dyDescent="0.25">
      <c r="A10" s="13">
        <v>8</v>
      </c>
      <c r="B10" s="105" t="s">
        <v>7</v>
      </c>
      <c r="C10" s="58">
        <v>1747.48</v>
      </c>
      <c r="D10" s="54">
        <v>1734.88</v>
      </c>
      <c r="E10" s="74">
        <v>2873.22</v>
      </c>
      <c r="F10" s="100">
        <v>2500.59</v>
      </c>
      <c r="G10" s="100">
        <v>2464.5300000000002</v>
      </c>
      <c r="H10" s="100">
        <v>3670.99</v>
      </c>
      <c r="I10" s="100">
        <v>2846.26</v>
      </c>
      <c r="J10" s="100">
        <v>3366.82</v>
      </c>
      <c r="K10" s="100">
        <v>2882.74</v>
      </c>
      <c r="L10" s="100">
        <v>2359.54</v>
      </c>
      <c r="M10" s="100"/>
      <c r="N10" s="101"/>
      <c r="O10" s="144">
        <f>SUM(Tabla3[[#This Row],[Gener]:[Desembre]])</f>
        <v>26447.050000000003</v>
      </c>
    </row>
    <row r="11" spans="1:15" x14ac:dyDescent="0.25">
      <c r="A11" s="13">
        <v>9</v>
      </c>
      <c r="B11" s="106" t="s">
        <v>40</v>
      </c>
      <c r="C11" s="58"/>
      <c r="D11" s="54"/>
      <c r="E11" s="74"/>
      <c r="F11" s="11"/>
      <c r="G11" s="11"/>
      <c r="H11" s="11"/>
      <c r="I11" s="11"/>
      <c r="J11" s="11">
        <v>0</v>
      </c>
      <c r="K11" s="11">
        <v>0</v>
      </c>
      <c r="L11" s="11">
        <v>0</v>
      </c>
      <c r="M11" s="11"/>
      <c r="N11" s="12"/>
      <c r="O11" s="144">
        <f>SUM(Tabla3[[#This Row],[Gener]:[Desembre]])</f>
        <v>0</v>
      </c>
    </row>
    <row r="12" spans="1:15" x14ac:dyDescent="0.25">
      <c r="A12" s="13">
        <v>10</v>
      </c>
      <c r="B12" s="106" t="s">
        <v>41</v>
      </c>
      <c r="C12" s="58">
        <v>28227.24</v>
      </c>
      <c r="D12" s="54"/>
      <c r="E12" s="74">
        <v>30047.48</v>
      </c>
      <c r="F12" s="11">
        <v>29127.5</v>
      </c>
      <c r="G12" s="11">
        <v>28481.45</v>
      </c>
      <c r="H12" s="11">
        <v>27838.1</v>
      </c>
      <c r="I12" s="11">
        <v>26902.66</v>
      </c>
      <c r="J12" s="11">
        <v>25675.49</v>
      </c>
      <c r="K12" s="11">
        <v>26970.63</v>
      </c>
      <c r="L12" s="11">
        <v>28183.26</v>
      </c>
      <c r="M12" s="11"/>
      <c r="N12" s="12"/>
      <c r="O12" s="144">
        <f>SUM(Tabla3[[#This Row],[Gener]:[Desembre]])</f>
        <v>251453.81</v>
      </c>
    </row>
    <row r="13" spans="1:15" x14ac:dyDescent="0.25">
      <c r="A13" s="13">
        <v>11</v>
      </c>
      <c r="B13" s="105" t="s">
        <v>9</v>
      </c>
      <c r="C13" s="58">
        <f>4791.76+1780+91169.23</f>
        <v>97740.989999999991</v>
      </c>
      <c r="D13" s="54">
        <f>4852.62+2640+81560</f>
        <v>89052.62</v>
      </c>
      <c r="E13" s="74">
        <v>97885.34</v>
      </c>
      <c r="F13" s="11">
        <f>5320.67+2520+86420</f>
        <v>94260.67</v>
      </c>
      <c r="G13" s="11">
        <f>5583.09+2580+91360</f>
        <v>99523.09</v>
      </c>
      <c r="H13" s="11">
        <v>99364.13</v>
      </c>
      <c r="I13" s="11">
        <v>99232.23</v>
      </c>
      <c r="J13" s="11">
        <v>85238.82</v>
      </c>
      <c r="K13" s="11">
        <v>98843.24</v>
      </c>
      <c r="L13" s="11">
        <v>97563.78</v>
      </c>
      <c r="M13" s="11"/>
      <c r="N13" s="12"/>
      <c r="O13" s="144">
        <f>SUM(Tabla3[[#This Row],[Gener]:[Desembre]])</f>
        <v>958704.90999999992</v>
      </c>
    </row>
    <row r="14" spans="1:15" x14ac:dyDescent="0.25">
      <c r="A14" s="13">
        <v>12</v>
      </c>
      <c r="B14" s="105" t="s">
        <v>10</v>
      </c>
      <c r="C14" s="58">
        <v>3017.73</v>
      </c>
      <c r="D14" s="54">
        <v>2873.86</v>
      </c>
      <c r="E14" s="74">
        <v>3999.33</v>
      </c>
      <c r="F14" s="11">
        <v>2911.63</v>
      </c>
      <c r="G14" s="11">
        <v>3442.56</v>
      </c>
      <c r="H14" s="11">
        <v>4854.0200000000004</v>
      </c>
      <c r="I14" s="11">
        <v>3884.69</v>
      </c>
      <c r="J14" s="11">
        <v>4041.61</v>
      </c>
      <c r="K14" s="11">
        <v>4452.12</v>
      </c>
      <c r="L14" s="11">
        <v>3458</v>
      </c>
      <c r="M14" s="11"/>
      <c r="N14" s="12"/>
      <c r="O14" s="144">
        <f>SUM(Tabla3[[#This Row],[Gener]:[Desembre]])</f>
        <v>36935.549999999996</v>
      </c>
    </row>
    <row r="15" spans="1:15" x14ac:dyDescent="0.25">
      <c r="A15" s="13">
        <v>13</v>
      </c>
      <c r="B15" s="106" t="s">
        <v>42</v>
      </c>
      <c r="C15" s="58">
        <f>1020+16484.31</f>
        <v>17504.310000000001</v>
      </c>
      <c r="D15" s="54">
        <f>25678.18+17561.33</f>
        <v>43239.51</v>
      </c>
      <c r="E15" s="74">
        <v>18415.03</v>
      </c>
      <c r="F15" s="11">
        <v>17858.98</v>
      </c>
      <c r="G15" s="11">
        <v>17442.560000000001</v>
      </c>
      <c r="H15" s="11">
        <v>19613.41</v>
      </c>
      <c r="I15" s="11">
        <v>18680.04</v>
      </c>
      <c r="J15" s="11">
        <v>15840</v>
      </c>
      <c r="K15" s="11">
        <v>20101.669999999998</v>
      </c>
      <c r="L15" s="11">
        <v>18967.23</v>
      </c>
      <c r="M15" s="11"/>
      <c r="N15" s="12"/>
      <c r="O15" s="144">
        <f>SUM(Tabla3[[#This Row],[Gener]:[Desembre]])</f>
        <v>207662.74000000002</v>
      </c>
    </row>
    <row r="16" spans="1:15" x14ac:dyDescent="0.25">
      <c r="A16" s="13">
        <v>14</v>
      </c>
      <c r="B16" s="105" t="s">
        <v>11</v>
      </c>
      <c r="C16" s="58"/>
      <c r="D16" s="54"/>
      <c r="E16" s="74"/>
      <c r="F16" s="11"/>
      <c r="G16" s="11"/>
      <c r="H16" s="11"/>
      <c r="I16" s="11"/>
      <c r="J16" s="11">
        <v>0</v>
      </c>
      <c r="K16" s="11">
        <v>0</v>
      </c>
      <c r="L16" s="11">
        <v>0</v>
      </c>
      <c r="M16" s="11"/>
      <c r="N16" s="12"/>
      <c r="O16" s="144">
        <f>SUM(Tabla3[[#This Row],[Gener]:[Desembre]])</f>
        <v>0</v>
      </c>
    </row>
    <row r="17" spans="1:15" x14ac:dyDescent="0.25">
      <c r="A17" s="13">
        <v>15</v>
      </c>
      <c r="B17" s="105" t="s">
        <v>12</v>
      </c>
      <c r="C17" s="58">
        <v>27880.17</v>
      </c>
      <c r="D17" s="54">
        <v>27570.61</v>
      </c>
      <c r="E17" s="74">
        <v>23634.31</v>
      </c>
      <c r="F17" s="11">
        <v>36040.6</v>
      </c>
      <c r="G17" s="11">
        <v>27828.37</v>
      </c>
      <c r="H17" s="11">
        <v>25372.45</v>
      </c>
      <c r="I17" s="11">
        <v>34907.89</v>
      </c>
      <c r="J17" s="11">
        <v>29022.35</v>
      </c>
      <c r="K17" s="11">
        <v>31778.54</v>
      </c>
      <c r="L17" s="11">
        <v>30880</v>
      </c>
      <c r="M17" s="11"/>
      <c r="N17" s="12"/>
      <c r="O17" s="144">
        <f>SUM(Tabla3[[#This Row],[Gener]:[Desembre]])</f>
        <v>294915.29000000004</v>
      </c>
    </row>
    <row r="18" spans="1:15" x14ac:dyDescent="0.25">
      <c r="A18" s="13">
        <v>16</v>
      </c>
      <c r="B18" s="105" t="s">
        <v>13</v>
      </c>
      <c r="C18" s="58"/>
      <c r="D18" s="54"/>
      <c r="E18" s="74"/>
      <c r="F18" s="11"/>
      <c r="G18" s="11"/>
      <c r="H18" s="11"/>
      <c r="I18" s="11"/>
      <c r="J18" s="11">
        <v>0</v>
      </c>
      <c r="K18" s="11">
        <v>0</v>
      </c>
      <c r="L18" s="11">
        <v>0</v>
      </c>
      <c r="M18" s="11"/>
      <c r="N18" s="12"/>
      <c r="O18" s="144">
        <f>SUM(Tabla3[[#This Row],[Gener]:[Desembre]])</f>
        <v>0</v>
      </c>
    </row>
    <row r="19" spans="1:15" x14ac:dyDescent="0.25">
      <c r="A19" s="13">
        <v>17</v>
      </c>
      <c r="B19" s="105" t="s">
        <v>14</v>
      </c>
      <c r="C19" s="58">
        <f>19763.93+2440</f>
        <v>22203.93</v>
      </c>
      <c r="D19" s="54">
        <f>15455.15+4320</f>
        <v>19775.150000000001</v>
      </c>
      <c r="E19" s="74">
        <v>20818.29</v>
      </c>
      <c r="F19" s="11">
        <f>17919.81+2360</f>
        <v>20279.810000000001</v>
      </c>
      <c r="G19" s="11">
        <f>18838.73+4660</f>
        <v>23498.73</v>
      </c>
      <c r="H19" s="11">
        <v>22998.9</v>
      </c>
      <c r="I19" s="11">
        <v>21122.01</v>
      </c>
      <c r="J19" s="11">
        <v>18505.690000000002</v>
      </c>
      <c r="K19" s="11">
        <v>20559.400000000001</v>
      </c>
      <c r="L19" s="11">
        <v>21670.02</v>
      </c>
      <c r="M19" s="11"/>
      <c r="N19" s="12"/>
      <c r="O19" s="144">
        <f>SUM(Tabla3[[#This Row],[Gener]:[Desembre]])</f>
        <v>211431.93</v>
      </c>
    </row>
    <row r="20" spans="1:15" x14ac:dyDescent="0.25">
      <c r="A20" s="13">
        <v>18</v>
      </c>
      <c r="B20" s="105" t="s">
        <v>15</v>
      </c>
      <c r="C20" s="58">
        <f>17074.11+68915.69</f>
        <v>85989.8</v>
      </c>
      <c r="D20" s="54">
        <f>15572.53+68878.67</f>
        <v>84451.199999999997</v>
      </c>
      <c r="E20" s="74">
        <v>94983.42</v>
      </c>
      <c r="F20" s="11">
        <f>17242.23+73101.02</f>
        <v>90343.25</v>
      </c>
      <c r="G20" s="11">
        <f>17094+78017.44</f>
        <v>95111.44</v>
      </c>
      <c r="H20" s="11">
        <v>88947.16</v>
      </c>
      <c r="I20" s="11">
        <v>90799.299999999988</v>
      </c>
      <c r="J20" s="11">
        <v>82098.45</v>
      </c>
      <c r="K20" s="11">
        <v>91720.34</v>
      </c>
      <c r="L20" s="11">
        <v>89579.86</v>
      </c>
      <c r="M20" s="11"/>
      <c r="N20" s="12"/>
      <c r="O20" s="144">
        <f>SUM(Tabla3[[#This Row],[Gener]:[Desembre]])</f>
        <v>894024.22</v>
      </c>
    </row>
    <row r="21" spans="1:15" x14ac:dyDescent="0.25">
      <c r="A21" s="13">
        <v>19</v>
      </c>
      <c r="B21" s="105" t="s">
        <v>16</v>
      </c>
      <c r="C21" s="58">
        <f>12920+977.88</f>
        <v>13897.88</v>
      </c>
      <c r="D21" s="54">
        <f>1048.1+11700</f>
        <v>12748.1</v>
      </c>
      <c r="E21" s="74">
        <v>14811.92</v>
      </c>
      <c r="F21" s="11">
        <f>12940+664.43</f>
        <v>13604.43</v>
      </c>
      <c r="G21" s="11">
        <f>12000+735.02</f>
        <v>12735.02</v>
      </c>
      <c r="H21" s="11">
        <v>14479.22</v>
      </c>
      <c r="I21" s="11">
        <v>13338.77</v>
      </c>
      <c r="J21" s="11">
        <v>11363.22</v>
      </c>
      <c r="K21" s="11">
        <v>12318.29</v>
      </c>
      <c r="L21" s="11">
        <v>13676.56</v>
      </c>
      <c r="M21" s="11"/>
      <c r="N21" s="12"/>
      <c r="O21" s="144">
        <f>SUM(Tabla3[[#This Row],[Gener]:[Desembre]])</f>
        <v>132973.41</v>
      </c>
    </row>
    <row r="22" spans="1:15" x14ac:dyDescent="0.25">
      <c r="A22" s="13">
        <v>20</v>
      </c>
      <c r="B22" s="105" t="s">
        <v>17</v>
      </c>
      <c r="C22" s="58"/>
      <c r="D22" s="54"/>
      <c r="E22" s="74"/>
      <c r="F22" s="11"/>
      <c r="G22" s="11"/>
      <c r="H22" s="11"/>
      <c r="I22" s="11"/>
      <c r="J22" s="11">
        <v>0</v>
      </c>
      <c r="K22" s="11">
        <v>0</v>
      </c>
      <c r="L22" s="11">
        <v>0</v>
      </c>
      <c r="M22" s="11"/>
      <c r="N22" s="12"/>
      <c r="O22" s="144">
        <f>SUM(Tabla3[[#This Row],[Gener]:[Desembre]])</f>
        <v>0</v>
      </c>
    </row>
    <row r="23" spans="1:15" x14ac:dyDescent="0.25">
      <c r="A23" s="13">
        <v>21</v>
      </c>
      <c r="B23" s="105" t="s">
        <v>18</v>
      </c>
      <c r="C23" s="58">
        <v>810.11</v>
      </c>
      <c r="D23" s="54">
        <v>846.1</v>
      </c>
      <c r="E23" s="74">
        <v>1427.38</v>
      </c>
      <c r="F23" s="11">
        <v>1229.5899999999999</v>
      </c>
      <c r="G23" s="11">
        <v>1252.04</v>
      </c>
      <c r="H23" s="11">
        <v>1862.03</v>
      </c>
      <c r="I23" s="11">
        <v>1918.91</v>
      </c>
      <c r="J23" s="11">
        <v>2188.5</v>
      </c>
      <c r="K23" s="11">
        <v>1721.08</v>
      </c>
      <c r="L23" s="11">
        <v>1296.27</v>
      </c>
      <c r="M23" s="11"/>
      <c r="N23" s="12"/>
      <c r="O23" s="144">
        <f>SUM(Tabla3[[#This Row],[Gener]:[Desembre]])</f>
        <v>14552.01</v>
      </c>
    </row>
    <row r="24" spans="1:15" x14ac:dyDescent="0.25">
      <c r="A24" s="13">
        <v>22</v>
      </c>
      <c r="B24" s="105" t="s">
        <v>19</v>
      </c>
      <c r="C24" s="58">
        <f>6115.78+19360</f>
        <v>25475.78</v>
      </c>
      <c r="D24" s="54">
        <f>5977.09+17684.32</f>
        <v>23661.41</v>
      </c>
      <c r="E24" s="74">
        <v>27014.05</v>
      </c>
      <c r="F24" s="11">
        <f>6153.58+19780</f>
        <v>25933.58</v>
      </c>
      <c r="G24" s="11">
        <f>6905.56+20880</f>
        <v>27785.56</v>
      </c>
      <c r="H24" s="11">
        <v>26563.45</v>
      </c>
      <c r="I24" s="11">
        <v>26302.54</v>
      </c>
      <c r="J24" s="11">
        <v>22951.46</v>
      </c>
      <c r="K24" s="11">
        <v>25816.1</v>
      </c>
      <c r="L24" s="11">
        <v>26683.57</v>
      </c>
      <c r="M24" s="11"/>
      <c r="N24" s="12"/>
      <c r="O24" s="144">
        <f>SUM(Tabla3[[#This Row],[Gener]:[Desembre]])</f>
        <v>258187.50000000003</v>
      </c>
    </row>
    <row r="25" spans="1:15" x14ac:dyDescent="0.25">
      <c r="A25" s="13">
        <v>23</v>
      </c>
      <c r="B25" s="106" t="s">
        <v>43</v>
      </c>
      <c r="C25" s="58">
        <v>14380</v>
      </c>
      <c r="D25" s="54">
        <v>13537.11</v>
      </c>
      <c r="E25" s="74">
        <v>15540</v>
      </c>
      <c r="F25" s="11">
        <v>14740</v>
      </c>
      <c r="G25" s="11">
        <v>14040</v>
      </c>
      <c r="H25" s="11">
        <v>16780</v>
      </c>
      <c r="I25" s="11">
        <v>15040</v>
      </c>
      <c r="J25" s="11">
        <v>14900</v>
      </c>
      <c r="K25" s="11">
        <v>14760</v>
      </c>
      <c r="L25" s="11">
        <v>14840</v>
      </c>
      <c r="M25" s="11"/>
      <c r="N25" s="12"/>
      <c r="O25" s="144">
        <f>SUM(Tabla3[[#This Row],[Gener]:[Desembre]])</f>
        <v>148557.10999999999</v>
      </c>
    </row>
    <row r="26" spans="1:15" x14ac:dyDescent="0.25">
      <c r="A26" s="13">
        <v>24</v>
      </c>
      <c r="B26" s="106" t="s">
        <v>44</v>
      </c>
      <c r="C26" s="58">
        <f>390.98+15920</f>
        <v>16310.98</v>
      </c>
      <c r="D26" s="54">
        <f>189.98+14080</f>
        <v>14269.98</v>
      </c>
      <c r="E26" s="74">
        <v>17789.89</v>
      </c>
      <c r="F26" s="11">
        <f>322.86+12440+2060</f>
        <v>14822.86</v>
      </c>
      <c r="G26" s="11">
        <f>569.6+13060+3380</f>
        <v>17009.599999999999</v>
      </c>
      <c r="H26" s="11">
        <v>18227.43</v>
      </c>
      <c r="I26" s="11">
        <v>18049.599999999999</v>
      </c>
      <c r="J26" s="11">
        <v>16506.509999999998</v>
      </c>
      <c r="K26" s="11">
        <v>15963.91</v>
      </c>
      <c r="L26" s="11">
        <v>17439.47</v>
      </c>
      <c r="M26" s="11"/>
      <c r="N26" s="12"/>
      <c r="O26" s="144">
        <f>SUM(Tabla3[[#This Row],[Gener]:[Desembre]])</f>
        <v>166390.23000000001</v>
      </c>
    </row>
    <row r="27" spans="1:15" x14ac:dyDescent="0.25">
      <c r="A27" s="13">
        <v>25</v>
      </c>
      <c r="B27" s="105" t="s">
        <v>20</v>
      </c>
      <c r="C27" s="58">
        <v>29017.46</v>
      </c>
      <c r="D27" s="54">
        <v>28504.37</v>
      </c>
      <c r="E27" s="74">
        <v>34630.300000000003</v>
      </c>
      <c r="F27" s="11">
        <v>34830.769999999997</v>
      </c>
      <c r="G27" s="11">
        <v>30382.76</v>
      </c>
      <c r="H27" s="11">
        <v>36097.74</v>
      </c>
      <c r="I27" s="11">
        <v>33169.31</v>
      </c>
      <c r="J27" s="11">
        <v>33002.29</v>
      </c>
      <c r="K27" s="11">
        <v>35300.080000000002</v>
      </c>
      <c r="L27" s="11">
        <v>28424.400000000001</v>
      </c>
      <c r="M27" s="11"/>
      <c r="N27" s="12"/>
      <c r="O27" s="144">
        <f>SUM(Tabla3[[#This Row],[Gener]:[Desembre]])</f>
        <v>323359.48000000004</v>
      </c>
    </row>
    <row r="28" spans="1:15" x14ac:dyDescent="0.25">
      <c r="A28" s="13">
        <v>26</v>
      </c>
      <c r="B28" s="106" t="s">
        <v>45</v>
      </c>
      <c r="C28" s="58">
        <v>8380</v>
      </c>
      <c r="D28" s="54">
        <v>7040</v>
      </c>
      <c r="E28" s="74">
        <v>8400</v>
      </c>
      <c r="F28" s="11">
        <v>8920</v>
      </c>
      <c r="G28" s="11">
        <v>8900</v>
      </c>
      <c r="H28" s="11">
        <v>8080</v>
      </c>
      <c r="I28" s="11">
        <v>9040</v>
      </c>
      <c r="J28" s="11">
        <v>8380</v>
      </c>
      <c r="K28" s="11">
        <v>7880</v>
      </c>
      <c r="L28" s="11">
        <v>8960</v>
      </c>
      <c r="M28" s="11"/>
      <c r="N28" s="12"/>
      <c r="O28" s="144">
        <f>SUM(Tabla3[[#This Row],[Gener]:[Desembre]])</f>
        <v>83980</v>
      </c>
    </row>
    <row r="29" spans="1:15" x14ac:dyDescent="0.25">
      <c r="A29" s="13">
        <v>27</v>
      </c>
      <c r="B29" s="106" t="s">
        <v>46</v>
      </c>
      <c r="C29" s="58"/>
      <c r="D29" s="54"/>
      <c r="E29" s="74"/>
      <c r="F29" s="11"/>
      <c r="G29" s="11"/>
      <c r="H29" s="11"/>
      <c r="I29" s="11"/>
      <c r="J29" s="11">
        <v>0</v>
      </c>
      <c r="K29" s="11">
        <v>0</v>
      </c>
      <c r="L29" s="11">
        <v>0</v>
      </c>
      <c r="M29" s="11"/>
      <c r="N29" s="12"/>
      <c r="O29" s="144">
        <f>SUM(Tabla3[[#This Row],[Gener]:[Desembre]])</f>
        <v>0</v>
      </c>
    </row>
    <row r="30" spans="1:15" x14ac:dyDescent="0.25">
      <c r="A30" s="13">
        <v>28</v>
      </c>
      <c r="B30" s="106" t="s">
        <v>47</v>
      </c>
      <c r="C30" s="58">
        <v>13597.34</v>
      </c>
      <c r="D30" s="54">
        <v>12850.49</v>
      </c>
      <c r="E30" s="74">
        <v>15682.51</v>
      </c>
      <c r="F30" s="11">
        <v>14614.46</v>
      </c>
      <c r="G30" s="11">
        <v>15535.69</v>
      </c>
      <c r="H30" s="11">
        <v>14180.37</v>
      </c>
      <c r="I30" s="11">
        <v>15263.57</v>
      </c>
      <c r="J30" s="11">
        <v>15461.25</v>
      </c>
      <c r="K30" s="11">
        <v>14404.22</v>
      </c>
      <c r="L30" s="11">
        <v>12637.52</v>
      </c>
      <c r="M30" s="11"/>
      <c r="N30" s="12"/>
      <c r="O30" s="144">
        <f>SUM(Tabla3[[#This Row],[Gener]:[Desembre]])</f>
        <v>144227.41999999998</v>
      </c>
    </row>
    <row r="31" spans="1:15" x14ac:dyDescent="0.25">
      <c r="A31" s="13">
        <v>29</v>
      </c>
      <c r="B31" s="106" t="s">
        <v>48</v>
      </c>
      <c r="C31" s="58">
        <v>209.1</v>
      </c>
      <c r="D31" s="54">
        <v>211.52</v>
      </c>
      <c r="E31" s="74">
        <v>337.9</v>
      </c>
      <c r="F31" s="11">
        <v>281.79000000000002</v>
      </c>
      <c r="G31" s="11">
        <v>294.26</v>
      </c>
      <c r="H31" s="11">
        <v>366.6</v>
      </c>
      <c r="I31" s="11">
        <v>293.39</v>
      </c>
      <c r="J31" s="11">
        <v>387.03</v>
      </c>
      <c r="K31" s="11">
        <v>308.89</v>
      </c>
      <c r="L31" s="11">
        <v>296.45999999999998</v>
      </c>
      <c r="M31" s="11"/>
      <c r="N31" s="12"/>
      <c r="O31" s="144">
        <f>SUM(Tabla3[[#This Row],[Gener]:[Desembre]])</f>
        <v>2986.94</v>
      </c>
    </row>
    <row r="32" spans="1:15" x14ac:dyDescent="0.25">
      <c r="A32" s="13">
        <v>30</v>
      </c>
      <c r="B32" s="106" t="s">
        <v>50</v>
      </c>
      <c r="C32" s="58">
        <v>24700</v>
      </c>
      <c r="D32" s="54">
        <v>21800</v>
      </c>
      <c r="E32" s="74">
        <v>25300</v>
      </c>
      <c r="F32" s="11">
        <v>26440</v>
      </c>
      <c r="G32" s="11">
        <v>26400</v>
      </c>
      <c r="H32" s="11">
        <v>24500</v>
      </c>
      <c r="I32" s="11">
        <v>27340</v>
      </c>
      <c r="J32" s="11">
        <v>25620</v>
      </c>
      <c r="K32" s="11">
        <v>24000</v>
      </c>
      <c r="L32" s="11">
        <v>26300</v>
      </c>
      <c r="M32" s="11"/>
      <c r="N32" s="12"/>
      <c r="O32" s="144">
        <f>SUM(Tabla3[[#This Row],[Gener]:[Desembre]])</f>
        <v>252400</v>
      </c>
    </row>
    <row r="33" spans="1:17" x14ac:dyDescent="0.25">
      <c r="A33" s="13">
        <v>31</v>
      </c>
      <c r="B33" s="106" t="s">
        <v>51</v>
      </c>
      <c r="C33" s="58">
        <v>3747.86</v>
      </c>
      <c r="D33" s="54">
        <v>2734.44</v>
      </c>
      <c r="E33" s="74">
        <v>2801.05</v>
      </c>
      <c r="F33" s="11">
        <v>2785.54</v>
      </c>
      <c r="G33" s="11">
        <v>3390.98</v>
      </c>
      <c r="H33" s="11">
        <v>3181.15</v>
      </c>
      <c r="I33" s="11">
        <v>3107.29</v>
      </c>
      <c r="J33" s="11">
        <v>4871.25</v>
      </c>
      <c r="K33" s="11">
        <v>2918.12</v>
      </c>
      <c r="L33" s="11">
        <v>3009.88</v>
      </c>
      <c r="M33" s="11"/>
      <c r="N33" s="12"/>
      <c r="O33" s="144">
        <f>SUM(Tabla3[[#This Row],[Gener]:[Desembre]])</f>
        <v>32547.56</v>
      </c>
    </row>
    <row r="34" spans="1:17" x14ac:dyDescent="0.25">
      <c r="A34" s="13">
        <v>32</v>
      </c>
      <c r="B34" s="106" t="s">
        <v>52</v>
      </c>
      <c r="C34" s="58">
        <v>18957.009999999998</v>
      </c>
      <c r="D34" s="54">
        <v>15989.37</v>
      </c>
      <c r="E34" s="74">
        <v>19156.88</v>
      </c>
      <c r="F34" s="11">
        <v>19394.95</v>
      </c>
      <c r="G34" s="11">
        <v>18313.22</v>
      </c>
      <c r="H34" s="11">
        <v>20566.310000000001</v>
      </c>
      <c r="I34" s="11">
        <v>20409.73</v>
      </c>
      <c r="J34" s="11">
        <v>21255.55</v>
      </c>
      <c r="K34" s="11">
        <v>17681.11</v>
      </c>
      <c r="L34" s="11">
        <v>17790.48</v>
      </c>
      <c r="M34" s="11"/>
      <c r="N34" s="12"/>
      <c r="O34" s="144">
        <f>SUM(Tabla3[[#This Row],[Gener]:[Desembre]])</f>
        <v>189514.61000000002</v>
      </c>
      <c r="Q34" s="21"/>
    </row>
    <row r="35" spans="1:17" x14ac:dyDescent="0.25">
      <c r="A35" s="13">
        <v>33</v>
      </c>
      <c r="B35" s="105" t="s">
        <v>21</v>
      </c>
      <c r="C35" s="58"/>
      <c r="D35" s="54"/>
      <c r="E35" s="74">
        <v>407.55</v>
      </c>
      <c r="F35" s="11"/>
      <c r="G35" s="11"/>
      <c r="H35" s="11"/>
      <c r="I35" s="11"/>
      <c r="J35" s="11">
        <v>0</v>
      </c>
      <c r="K35" s="11">
        <v>0</v>
      </c>
      <c r="L35" s="11">
        <v>0</v>
      </c>
      <c r="M35" s="11"/>
      <c r="N35" s="12"/>
      <c r="O35" s="144">
        <f>SUM(Tabla3[[#This Row],[Gener]:[Desembre]])</f>
        <v>407.55</v>
      </c>
    </row>
    <row r="36" spans="1:17" x14ac:dyDescent="0.25">
      <c r="A36" s="13">
        <v>34</v>
      </c>
      <c r="B36" s="105" t="s">
        <v>22</v>
      </c>
      <c r="C36" s="58">
        <v>6001.93</v>
      </c>
      <c r="D36" s="54">
        <v>5427.8</v>
      </c>
      <c r="E36" s="74">
        <v>6792.57</v>
      </c>
      <c r="F36" s="11">
        <v>5903.46</v>
      </c>
      <c r="G36" s="11">
        <v>5249.54</v>
      </c>
      <c r="H36" s="11">
        <v>6662.83</v>
      </c>
      <c r="I36" s="11">
        <v>6904.49</v>
      </c>
      <c r="J36" s="11">
        <v>6517.42</v>
      </c>
      <c r="K36" s="11">
        <v>5480.25</v>
      </c>
      <c r="L36" s="11">
        <v>5729.32</v>
      </c>
      <c r="M36" s="11"/>
      <c r="N36" s="12"/>
      <c r="O36" s="144">
        <f>SUM(Tabla3[[#This Row],[Gener]:[Desembre]])</f>
        <v>60669.609999999993</v>
      </c>
    </row>
    <row r="37" spans="1:17" x14ac:dyDescent="0.25">
      <c r="A37" s="13">
        <v>35</v>
      </c>
      <c r="B37" s="105" t="s">
        <v>23</v>
      </c>
      <c r="C37" s="58">
        <v>6330.56</v>
      </c>
      <c r="D37" s="54">
        <v>5580.59</v>
      </c>
      <c r="E37" s="74">
        <v>7857.95</v>
      </c>
      <c r="F37" s="11">
        <v>6284.21</v>
      </c>
      <c r="G37" s="11">
        <v>7776.63</v>
      </c>
      <c r="H37" s="11">
        <v>7776.34</v>
      </c>
      <c r="I37" s="11">
        <v>7770.2</v>
      </c>
      <c r="J37" s="11">
        <v>7329.94</v>
      </c>
      <c r="K37" s="11">
        <v>7686.84</v>
      </c>
      <c r="L37" s="11">
        <v>5847.63</v>
      </c>
      <c r="M37" s="11"/>
      <c r="N37" s="12"/>
      <c r="O37" s="144">
        <f>SUM(Tabla3[[#This Row],[Gener]:[Desembre]])</f>
        <v>70240.89</v>
      </c>
    </row>
    <row r="38" spans="1:17" x14ac:dyDescent="0.25">
      <c r="A38" s="13">
        <v>36</v>
      </c>
      <c r="B38" s="105" t="s">
        <v>24</v>
      </c>
      <c r="C38" s="58">
        <v>1443.34</v>
      </c>
      <c r="D38" s="54">
        <v>1533.31</v>
      </c>
      <c r="E38" s="74">
        <v>1702.86</v>
      </c>
      <c r="F38" s="11">
        <f>80+1308.38</f>
        <v>1388.38</v>
      </c>
      <c r="G38" s="11">
        <v>1157.44</v>
      </c>
      <c r="H38" s="11">
        <v>1585.98</v>
      </c>
      <c r="I38" s="11">
        <v>1275.31</v>
      </c>
      <c r="J38" s="11">
        <v>1358.39</v>
      </c>
      <c r="K38" s="11">
        <v>1607.88</v>
      </c>
      <c r="L38" s="11">
        <v>1402</v>
      </c>
      <c r="M38" s="11"/>
      <c r="N38" s="12"/>
      <c r="O38" s="144">
        <f>SUM(Tabla3[[#This Row],[Gener]:[Desembre]])</f>
        <v>14454.89</v>
      </c>
    </row>
    <row r="39" spans="1:17" x14ac:dyDescent="0.25">
      <c r="A39" s="108">
        <v>37</v>
      </c>
      <c r="B39" s="105" t="s">
        <v>25</v>
      </c>
      <c r="C39" s="58">
        <v>9338.5300000000007</v>
      </c>
      <c r="D39" s="54">
        <v>9689.4599999999991</v>
      </c>
      <c r="E39" s="74">
        <v>10303.06</v>
      </c>
      <c r="F39" s="11">
        <v>12066.08</v>
      </c>
      <c r="G39" s="11">
        <v>10741.11</v>
      </c>
      <c r="H39" s="11">
        <v>11589.45</v>
      </c>
      <c r="I39" s="11">
        <v>12036.03</v>
      </c>
      <c r="J39" s="11">
        <v>10201.09</v>
      </c>
      <c r="K39" s="11">
        <v>10581.46</v>
      </c>
      <c r="L39" s="11">
        <v>9125.89</v>
      </c>
      <c r="M39" s="11"/>
      <c r="N39" s="12"/>
      <c r="O39" s="144">
        <f>SUM(Tabla3[[#This Row],[Gener]:[Desembre]])</f>
        <v>105672.15999999999</v>
      </c>
    </row>
    <row r="40" spans="1:17" x14ac:dyDescent="0.25">
      <c r="A40" s="13">
        <v>38</v>
      </c>
      <c r="B40" s="105" t="s">
        <v>5</v>
      </c>
      <c r="C40" s="58">
        <v>2280.35</v>
      </c>
      <c r="D40" s="54">
        <v>2616.21</v>
      </c>
      <c r="E40" s="74">
        <v>3588.98</v>
      </c>
      <c r="F40" s="11">
        <v>2534.17</v>
      </c>
      <c r="G40" s="11">
        <v>2721.18</v>
      </c>
      <c r="H40" s="11">
        <v>3070.88</v>
      </c>
      <c r="I40" s="11">
        <v>2769.14</v>
      </c>
      <c r="J40" s="11">
        <v>2848.45</v>
      </c>
      <c r="K40" s="11">
        <v>3766.59</v>
      </c>
      <c r="L40" s="11">
        <v>2214.52</v>
      </c>
      <c r="M40" s="11"/>
      <c r="N40" s="12"/>
      <c r="O40" s="144">
        <f>SUM(Tabla3[[#This Row],[Gener]:[Desembre]])</f>
        <v>28410.47</v>
      </c>
    </row>
    <row r="41" spans="1:17" x14ac:dyDescent="0.25">
      <c r="A41" s="13">
        <v>39</v>
      </c>
      <c r="B41" s="105" t="s">
        <v>6</v>
      </c>
      <c r="C41" s="58">
        <f>979.5+8880</f>
        <v>9859.5</v>
      </c>
      <c r="D41" s="54">
        <f>525.17+7120</f>
        <v>7645.17</v>
      </c>
      <c r="E41" s="74">
        <v>9387.24</v>
      </c>
      <c r="F41" s="11">
        <f>894.41+8100</f>
        <v>8994.41</v>
      </c>
      <c r="G41" s="11">
        <f>1106.68+8200</f>
        <v>9306.68</v>
      </c>
      <c r="H41" s="11">
        <v>8360.7800000000007</v>
      </c>
      <c r="I41" s="11">
        <v>9524.43</v>
      </c>
      <c r="J41" s="11">
        <v>10342.25</v>
      </c>
      <c r="K41" s="11">
        <v>8583.09</v>
      </c>
      <c r="L41" s="11">
        <v>8824.25</v>
      </c>
      <c r="M41" s="11"/>
      <c r="N41" s="12"/>
      <c r="O41" s="144">
        <f>SUM(Tabla3[[#This Row],[Gener]:[Desembre]])</f>
        <v>90827.799999999988</v>
      </c>
    </row>
    <row r="42" spans="1:17" x14ac:dyDescent="0.25">
      <c r="A42" s="13">
        <v>40</v>
      </c>
      <c r="B42" s="105" t="s">
        <v>8</v>
      </c>
      <c r="C42" s="58">
        <v>0</v>
      </c>
      <c r="D42" s="54">
        <v>510.58</v>
      </c>
      <c r="E42" s="74">
        <v>637.66</v>
      </c>
      <c r="F42" s="11">
        <v>196.55</v>
      </c>
      <c r="G42" s="11">
        <v>401.83</v>
      </c>
      <c r="H42" s="11">
        <v>537.41999999999996</v>
      </c>
      <c r="I42" s="11">
        <v>432.86</v>
      </c>
      <c r="J42" s="11">
        <v>727.84</v>
      </c>
      <c r="K42" s="11">
        <v>645.05999999999995</v>
      </c>
      <c r="L42" s="11">
        <v>546.92999999999995</v>
      </c>
      <c r="M42" s="11"/>
      <c r="N42" s="12"/>
      <c r="O42" s="144">
        <f>SUM(Tabla3[[#This Row],[Gener]:[Desembre]])</f>
        <v>4636.7300000000005</v>
      </c>
    </row>
    <row r="43" spans="1:17" s="4" customFormat="1" ht="15.75" thickBot="1" x14ac:dyDescent="0.3">
      <c r="A43" s="95">
        <v>41</v>
      </c>
      <c r="B43" s="109" t="s">
        <v>49</v>
      </c>
      <c r="C43" s="59"/>
      <c r="D43" s="56"/>
      <c r="E43" s="75"/>
      <c r="F43" s="14"/>
      <c r="G43" s="14"/>
      <c r="H43" s="14"/>
      <c r="I43" s="14"/>
      <c r="J43" s="14">
        <v>0</v>
      </c>
      <c r="K43" s="368">
        <v>0</v>
      </c>
      <c r="L43" s="14">
        <v>0</v>
      </c>
      <c r="M43" s="14"/>
      <c r="N43" s="15"/>
      <c r="O43" s="145">
        <f>SUM(Tabla3[[#This Row],[Gener]:[Desembre]])</f>
        <v>0</v>
      </c>
    </row>
    <row r="44" spans="1:17" ht="15.75" thickBot="1" x14ac:dyDescent="0.3">
      <c r="A44" s="102"/>
      <c r="B44" s="51" t="s">
        <v>38</v>
      </c>
      <c r="C44" s="5">
        <f t="shared" ref="C44:L44" si="0">SUBTOTAL(109,C4:C43)</f>
        <v>609328.2300000001</v>
      </c>
      <c r="D44" s="6">
        <f t="shared" si="0"/>
        <v>571196.96</v>
      </c>
      <c r="E44" s="6">
        <f t="shared" si="0"/>
        <v>651751.22</v>
      </c>
      <c r="F44" s="6">
        <f t="shared" si="0"/>
        <v>635148.75999999989</v>
      </c>
      <c r="G44" s="6">
        <f t="shared" si="0"/>
        <v>641992.59999999986</v>
      </c>
      <c r="H44" s="6">
        <f t="shared" si="0"/>
        <v>650793.76</v>
      </c>
      <c r="I44" s="6">
        <f t="shared" si="0"/>
        <v>659463.04</v>
      </c>
      <c r="J44" s="6">
        <f t="shared" si="0"/>
        <v>606557.29999999993</v>
      </c>
      <c r="K44" s="6">
        <f t="shared" si="0"/>
        <v>636501.04999999981</v>
      </c>
      <c r="L44" s="6">
        <f t="shared" si="0"/>
        <v>622893.83000000007</v>
      </c>
      <c r="M44" s="6">
        <f>SUBTOTAL(109,M4:M43)</f>
        <v>0</v>
      </c>
      <c r="N44" s="6">
        <f>SUBTOTAL(109,N4:N43)</f>
        <v>0</v>
      </c>
      <c r="O44" s="28">
        <f>SUBTOTAL(109,O4:O43)</f>
        <v>6285626.7500000019</v>
      </c>
    </row>
    <row r="45" spans="1:17" ht="15.75" thickBot="1" x14ac:dyDescent="0.3">
      <c r="A45" s="276"/>
      <c r="B45" s="277" t="s">
        <v>68</v>
      </c>
      <c r="C45" s="278">
        <v>2091.77</v>
      </c>
      <c r="D45" s="279">
        <v>2343.04</v>
      </c>
      <c r="E45" s="279">
        <v>2068.81</v>
      </c>
      <c r="F45" s="279">
        <v>2131.25</v>
      </c>
      <c r="G45" s="279">
        <v>2299.42</v>
      </c>
      <c r="H45" s="279">
        <v>2506.2399999999998</v>
      </c>
      <c r="I45" s="279">
        <v>2396.96</v>
      </c>
      <c r="J45" s="279">
        <v>1762.72</v>
      </c>
      <c r="K45" s="279">
        <v>1378.94</v>
      </c>
      <c r="L45" s="279">
        <v>3816.19</v>
      </c>
      <c r="M45" s="279"/>
      <c r="N45" s="279"/>
      <c r="O45" s="280">
        <f>SUM(Tabla3[[#This Row],[Gener]:[Desembre]])</f>
        <v>22795.339999999997</v>
      </c>
    </row>
    <row r="46" spans="1:17" ht="15.75" thickBot="1" x14ac:dyDescent="0.3">
      <c r="A46" s="270"/>
      <c r="B46" s="271" t="s">
        <v>135</v>
      </c>
      <c r="C46" s="272">
        <f>C44+C45</f>
        <v>611420.00000000012</v>
      </c>
      <c r="D46" s="273">
        <f>D45+D44</f>
        <v>573540</v>
      </c>
      <c r="E46" s="273">
        <f>E45+E44</f>
        <v>653820.03</v>
      </c>
      <c r="F46" s="273">
        <f t="shared" ref="F46:N46" si="1">F45+F44</f>
        <v>637280.00999999989</v>
      </c>
      <c r="G46" s="273">
        <f t="shared" si="1"/>
        <v>644292.0199999999</v>
      </c>
      <c r="H46" s="273">
        <f t="shared" si="1"/>
        <v>653300</v>
      </c>
      <c r="I46" s="273">
        <f t="shared" si="1"/>
        <v>661860</v>
      </c>
      <c r="J46" s="273">
        <f t="shared" si="1"/>
        <v>608320.0199999999</v>
      </c>
      <c r="K46" s="273">
        <f t="shared" si="1"/>
        <v>637879.98999999976</v>
      </c>
      <c r="L46" s="273">
        <f t="shared" si="1"/>
        <v>626710.02</v>
      </c>
      <c r="M46" s="273">
        <f t="shared" si="1"/>
        <v>0</v>
      </c>
      <c r="N46" s="274">
        <f t="shared" si="1"/>
        <v>0</v>
      </c>
      <c r="O46" s="275">
        <f>SUM(Tabla3[[#This Row],[Gener]:[Desembre]])</f>
        <v>6308422.0899999999</v>
      </c>
    </row>
    <row r="47" spans="1:17" ht="15.75" thickBot="1" x14ac:dyDescent="0.3">
      <c r="A47" s="102"/>
      <c r="B47" s="29" t="s">
        <v>124</v>
      </c>
      <c r="C47" s="30">
        <v>599779.97999999986</v>
      </c>
      <c r="D47" s="31">
        <v>528459.96999999986</v>
      </c>
      <c r="E47" s="31">
        <v>601019.99999999988</v>
      </c>
      <c r="F47" s="31">
        <v>634699.9800000001</v>
      </c>
      <c r="G47" s="31">
        <v>634400.0199999999</v>
      </c>
      <c r="H47" s="31">
        <v>670300.01999999979</v>
      </c>
      <c r="I47" s="31">
        <v>649720.17000000004</v>
      </c>
      <c r="J47" s="31">
        <v>585680.02</v>
      </c>
      <c r="K47" s="31">
        <v>610300.00999999989</v>
      </c>
      <c r="L47" s="31">
        <v>632939.98999999987</v>
      </c>
      <c r="M47" s="31">
        <v>622380.02000000014</v>
      </c>
      <c r="N47" s="32">
        <v>661420.01</v>
      </c>
      <c r="O47" s="33">
        <f>SUM(Tabla3[[#This Row],[Gener]:[Desembre]])</f>
        <v>7431100.1900000004</v>
      </c>
    </row>
    <row r="48" spans="1:17" x14ac:dyDescent="0.25">
      <c r="A48" s="102"/>
      <c r="B48" s="86" t="s">
        <v>58</v>
      </c>
      <c r="C48" s="265">
        <f>(C46/C47)-1</f>
        <v>1.9407149935215084E-2</v>
      </c>
      <c r="D48" s="266">
        <f>(D46/D47)-1</f>
        <v>8.5304531202240685E-2</v>
      </c>
      <c r="E48" s="266">
        <f t="shared" ref="E48:O48" si="2">(E46/E47)-1</f>
        <v>8.7850703803534325E-2</v>
      </c>
      <c r="F48" s="266">
        <f t="shared" si="2"/>
        <v>4.0649599516291435E-3</v>
      </c>
      <c r="G48" s="266">
        <f t="shared" si="2"/>
        <v>1.5592685510949389E-2</v>
      </c>
      <c r="H48" s="266">
        <f t="shared" si="2"/>
        <v>-2.5361807388876056E-2</v>
      </c>
      <c r="I48" s="266">
        <f t="shared" si="2"/>
        <v>1.8684705447885364E-2</v>
      </c>
      <c r="J48" s="266">
        <f t="shared" si="2"/>
        <v>3.8655920002188093E-2</v>
      </c>
      <c r="K48" s="266">
        <f t="shared" si="2"/>
        <v>4.5190856215125752E-2</v>
      </c>
      <c r="L48" s="266">
        <f t="shared" si="2"/>
        <v>-9.8429078560826611E-3</v>
      </c>
      <c r="M48" s="266">
        <f t="shared" si="2"/>
        <v>-1</v>
      </c>
      <c r="N48" s="266">
        <f t="shared" si="2"/>
        <v>-1</v>
      </c>
      <c r="O48" s="266">
        <f t="shared" si="2"/>
        <v>-0.15107831563229135</v>
      </c>
    </row>
    <row r="49" spans="1:15" x14ac:dyDescent="0.25">
      <c r="A49" s="267"/>
      <c r="B49" s="268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</row>
    <row r="50" spans="1:15" x14ac:dyDescent="0.25">
      <c r="A50" s="267"/>
      <c r="B50" s="268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</row>
    <row r="51" spans="1:1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sheetProtection sheet="1" objects="1" scenarios="1"/>
  <pageMargins left="0.47" right="0.19685039370078741" top="0.51181102362204722" bottom="0.39370078740157483" header="0.19685039370078741" footer="0.15748031496062992"/>
  <pageSetup paperSize="9" scale="70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"/>
  <sheetViews>
    <sheetView showZeros="0" zoomScale="90" zoomScaleNormal="90" workbookViewId="0">
      <pane xSplit="2" ySplit="4" topLeftCell="C5" activePane="bottomRight" state="frozen"/>
      <selection activeCell="B45" sqref="B45"/>
      <selection pane="topRight" activeCell="B45" sqref="B45"/>
      <selection pane="bottomLeft" activeCell="B45" sqref="B45"/>
      <selection pane="bottomRight" activeCell="I22" sqref="I22"/>
    </sheetView>
  </sheetViews>
  <sheetFormatPr baseColWidth="10" defaultColWidth="11.42578125" defaultRowHeight="15" x14ac:dyDescent="0.25"/>
  <cols>
    <col min="1" max="1" width="5.42578125" style="3" customWidth="1"/>
    <col min="2" max="2" width="26.140625" style="20" bestFit="1" customWidth="1"/>
    <col min="3" max="5" width="11.42578125" style="2"/>
    <col min="6" max="6" width="11.85546875" style="2" bestFit="1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138</v>
      </c>
    </row>
    <row r="3" spans="1:15" ht="15.75" thickBot="1" x14ac:dyDescent="0.3">
      <c r="C3" s="4" t="s">
        <v>54</v>
      </c>
    </row>
    <row r="4" spans="1:15" ht="15.75" thickBot="1" x14ac:dyDescent="0.3">
      <c r="A4" s="114" t="s">
        <v>59</v>
      </c>
      <c r="B4" s="23" t="s">
        <v>57</v>
      </c>
      <c r="C4" s="5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7" t="s">
        <v>37</v>
      </c>
      <c r="O4" s="28" t="s">
        <v>38</v>
      </c>
    </row>
    <row r="5" spans="1:15" x14ac:dyDescent="0.25">
      <c r="A5" s="115">
        <v>1</v>
      </c>
      <c r="B5" s="111" t="s">
        <v>39</v>
      </c>
      <c r="C5" s="57">
        <v>18744.54</v>
      </c>
      <c r="D5" s="52">
        <v>12371.62</v>
      </c>
      <c r="E5" s="52">
        <v>22253.51</v>
      </c>
      <c r="F5" s="52">
        <v>20412.080000000002</v>
      </c>
      <c r="G5" s="52">
        <v>10955.19</v>
      </c>
      <c r="H5" s="52">
        <v>13738.27</v>
      </c>
      <c r="I5" s="52">
        <v>18352.88</v>
      </c>
      <c r="J5" s="52">
        <v>24526.73</v>
      </c>
      <c r="K5" s="52">
        <v>18575.14</v>
      </c>
      <c r="L5" s="52">
        <v>15008.47</v>
      </c>
      <c r="M5" s="52"/>
      <c r="N5" s="53"/>
      <c r="O5" s="143">
        <f>SUM(Tabla5[[#This Row],[Gener]:[Desembre]])</f>
        <v>174938.43000000002</v>
      </c>
    </row>
    <row r="6" spans="1:15" x14ac:dyDescent="0.25">
      <c r="A6" s="116">
        <v>2</v>
      </c>
      <c r="B6" s="112" t="s">
        <v>0</v>
      </c>
      <c r="C6" s="58">
        <v>10563.53</v>
      </c>
      <c r="D6" s="54">
        <v>11359.03</v>
      </c>
      <c r="E6" s="54">
        <v>22558.89</v>
      </c>
      <c r="F6" s="54">
        <v>19791.12</v>
      </c>
      <c r="G6" s="54">
        <v>4160.6099999999997</v>
      </c>
      <c r="H6" s="54">
        <v>17300</v>
      </c>
      <c r="I6" s="54">
        <v>32682.79</v>
      </c>
      <c r="J6" s="54">
        <v>20607.53</v>
      </c>
      <c r="K6" s="54">
        <v>4523.6400000000003</v>
      </c>
      <c r="L6" s="54">
        <v>21490.58</v>
      </c>
      <c r="M6" s="54"/>
      <c r="N6" s="55"/>
      <c r="O6" s="144">
        <f>SUM(Tabla5[[#This Row],[Gener]:[Desembre]])</f>
        <v>165037.72000000003</v>
      </c>
    </row>
    <row r="7" spans="1:15" x14ac:dyDescent="0.25">
      <c r="A7" s="116">
        <v>3</v>
      </c>
      <c r="B7" s="112" t="s">
        <v>1</v>
      </c>
      <c r="C7" s="58">
        <v>30694.18</v>
      </c>
      <c r="D7" s="54">
        <v>35985.15</v>
      </c>
      <c r="E7" s="54">
        <v>48909.04</v>
      </c>
      <c r="F7" s="54">
        <v>26962.74</v>
      </c>
      <c r="G7" s="54">
        <v>19732.060000000001</v>
      </c>
      <c r="H7" s="54">
        <v>35726.550000000003</v>
      </c>
      <c r="I7" s="54">
        <v>35251.79</v>
      </c>
      <c r="J7" s="54">
        <v>33347.379999999997</v>
      </c>
      <c r="K7" s="54">
        <v>36570.46</v>
      </c>
      <c r="L7" s="54">
        <v>26969.82</v>
      </c>
      <c r="M7" s="54"/>
      <c r="N7" s="55"/>
      <c r="O7" s="144">
        <f>SUM(Tabla5[[#This Row],[Gener]:[Desembre]])</f>
        <v>330149.17</v>
      </c>
    </row>
    <row r="8" spans="1:15" x14ac:dyDescent="0.25">
      <c r="A8" s="116">
        <v>4</v>
      </c>
      <c r="B8" s="112" t="s">
        <v>2</v>
      </c>
      <c r="C8" s="58">
        <v>1960</v>
      </c>
      <c r="D8" s="54">
        <v>1443.33</v>
      </c>
      <c r="E8" s="54"/>
      <c r="F8" s="54">
        <v>2962.29</v>
      </c>
      <c r="G8" s="54">
        <v>1950.81</v>
      </c>
      <c r="H8" s="54">
        <v>2113.6799999999998</v>
      </c>
      <c r="I8" s="54">
        <v>2250</v>
      </c>
      <c r="J8" s="54">
        <v>2353.5500000000002</v>
      </c>
      <c r="K8" s="54">
        <v>2607.06</v>
      </c>
      <c r="L8" s="54">
        <v>1617.78</v>
      </c>
      <c r="M8" s="54"/>
      <c r="N8" s="55"/>
      <c r="O8" s="144">
        <f>SUM(Tabla5[[#This Row],[Gener]:[Desembre]])</f>
        <v>19258.5</v>
      </c>
    </row>
    <row r="9" spans="1:15" x14ac:dyDescent="0.25">
      <c r="A9" s="116">
        <v>5</v>
      </c>
      <c r="B9" s="112" t="s">
        <v>3</v>
      </c>
      <c r="C9" s="58">
        <v>24879.27</v>
      </c>
      <c r="D9" s="54">
        <v>11996.19</v>
      </c>
      <c r="E9" s="54">
        <v>9765.35</v>
      </c>
      <c r="F9" s="54">
        <v>25215.96</v>
      </c>
      <c r="G9" s="54">
        <v>10266.08</v>
      </c>
      <c r="H9" s="54">
        <v>12437.55</v>
      </c>
      <c r="I9" s="54">
        <v>17379.22</v>
      </c>
      <c r="J9" s="54">
        <v>16930.87</v>
      </c>
      <c r="K9" s="54">
        <v>13084.99</v>
      </c>
      <c r="L9" s="54">
        <v>16530.830000000002</v>
      </c>
      <c r="M9" s="54"/>
      <c r="N9" s="55"/>
      <c r="O9" s="144">
        <f>SUM(Tabla5[[#This Row],[Gener]:[Desembre]])</f>
        <v>158486.31</v>
      </c>
    </row>
    <row r="10" spans="1:15" x14ac:dyDescent="0.25">
      <c r="A10" s="116">
        <v>6</v>
      </c>
      <c r="B10" s="112" t="s">
        <v>4</v>
      </c>
      <c r="C10" s="58">
        <v>48332.56</v>
      </c>
      <c r="D10" s="54">
        <v>35175.82</v>
      </c>
      <c r="E10" s="54">
        <v>27568.29</v>
      </c>
      <c r="F10" s="54">
        <v>26755.01</v>
      </c>
      <c r="G10" s="54">
        <v>33023.32</v>
      </c>
      <c r="H10" s="54">
        <v>46748.13</v>
      </c>
      <c r="I10" s="54">
        <v>36487.199999999997</v>
      </c>
      <c r="J10" s="54">
        <v>27472.16</v>
      </c>
      <c r="K10" s="54">
        <v>38629.85</v>
      </c>
      <c r="L10" s="54">
        <v>22601.87</v>
      </c>
      <c r="M10" s="54"/>
      <c r="N10" s="55"/>
      <c r="O10" s="144">
        <f>SUM(Tabla5[[#This Row],[Gener]:[Desembre]])</f>
        <v>342794.20999999996</v>
      </c>
    </row>
    <row r="11" spans="1:15" x14ac:dyDescent="0.25">
      <c r="A11" s="116">
        <v>8</v>
      </c>
      <c r="B11" s="112" t="s">
        <v>7</v>
      </c>
      <c r="C11" s="58">
        <v>4900</v>
      </c>
      <c r="D11" s="54">
        <v>3247.5</v>
      </c>
      <c r="E11" s="54"/>
      <c r="F11" s="54">
        <v>5828.88</v>
      </c>
      <c r="G11" s="54">
        <v>3901.62</v>
      </c>
      <c r="H11" s="54">
        <v>4755.79</v>
      </c>
      <c r="I11" s="54">
        <v>4000</v>
      </c>
      <c r="J11" s="54">
        <v>5098.0600000000004</v>
      </c>
      <c r="K11" s="54">
        <v>6262.5</v>
      </c>
      <c r="L11" s="54">
        <v>3640</v>
      </c>
      <c r="M11" s="54"/>
      <c r="N11" s="55"/>
      <c r="O11" s="144">
        <f>SUM(Tabla5[[#This Row],[Gener]:[Desembre]])</f>
        <v>41634.350000000006</v>
      </c>
    </row>
    <row r="12" spans="1:15" x14ac:dyDescent="0.25">
      <c r="A12" s="116">
        <v>9</v>
      </c>
      <c r="B12" s="113" t="s">
        <v>40</v>
      </c>
      <c r="C12" s="58"/>
      <c r="D12" s="54"/>
      <c r="E12" s="54"/>
      <c r="F12" s="54"/>
      <c r="G12" s="54"/>
      <c r="H12" s="54"/>
      <c r="I12" s="54"/>
      <c r="J12" s="54"/>
      <c r="K12" s="54">
        <v>0</v>
      </c>
      <c r="L12" s="54">
        <v>0</v>
      </c>
      <c r="M12" s="54"/>
      <c r="N12" s="55"/>
      <c r="O12" s="144">
        <f>SUM(Tabla5[[#This Row],[Gener]:[Desembre]])</f>
        <v>0</v>
      </c>
    </row>
    <row r="13" spans="1:15" x14ac:dyDescent="0.25">
      <c r="A13" s="116">
        <v>10</v>
      </c>
      <c r="B13" s="113" t="s">
        <v>41</v>
      </c>
      <c r="C13" s="58">
        <v>30521.55</v>
      </c>
      <c r="D13" s="54">
        <v>37912.449999999997</v>
      </c>
      <c r="E13" s="54">
        <v>18467.849999999999</v>
      </c>
      <c r="F13" s="54">
        <v>33857.839999999997</v>
      </c>
      <c r="G13" s="54">
        <v>20133.95</v>
      </c>
      <c r="H13" s="54">
        <v>19706.669999999998</v>
      </c>
      <c r="I13" s="54">
        <v>37140.54</v>
      </c>
      <c r="J13" s="54">
        <v>31860</v>
      </c>
      <c r="K13" s="54">
        <v>24372.91</v>
      </c>
      <c r="L13" s="54">
        <v>27940.28</v>
      </c>
      <c r="M13" s="54"/>
      <c r="N13" s="55"/>
      <c r="O13" s="144">
        <f>SUM(Tabla5[[#This Row],[Gener]:[Desembre]])</f>
        <v>281914.04000000004</v>
      </c>
    </row>
    <row r="14" spans="1:15" x14ac:dyDescent="0.25">
      <c r="A14" s="116">
        <v>11</v>
      </c>
      <c r="B14" s="112" t="s">
        <v>9</v>
      </c>
      <c r="C14" s="58">
        <v>106640</v>
      </c>
      <c r="D14" s="54">
        <v>74092.95</v>
      </c>
      <c r="E14" s="54">
        <v>52089.84</v>
      </c>
      <c r="F14" s="54">
        <v>125718.34</v>
      </c>
      <c r="G14" s="54">
        <v>86812.59</v>
      </c>
      <c r="H14" s="54">
        <v>88868.43</v>
      </c>
      <c r="I14" s="54">
        <v>76216.929999999993</v>
      </c>
      <c r="J14" s="54">
        <v>83499.839999999997</v>
      </c>
      <c r="K14" s="54">
        <v>102936.72</v>
      </c>
      <c r="L14" s="54">
        <v>79650.429999999993</v>
      </c>
      <c r="M14" s="54"/>
      <c r="N14" s="55"/>
      <c r="O14" s="144">
        <f>SUM(Tabla5[[#This Row],[Gener]:[Desembre]])</f>
        <v>876526.06999999983</v>
      </c>
    </row>
    <row r="15" spans="1:15" x14ac:dyDescent="0.25">
      <c r="A15" s="116">
        <v>12</v>
      </c>
      <c r="B15" s="112" t="s">
        <v>10</v>
      </c>
      <c r="C15" s="58">
        <v>4771.18</v>
      </c>
      <c r="D15" s="54">
        <v>2483.81</v>
      </c>
      <c r="E15" s="54">
        <v>9825.5</v>
      </c>
      <c r="F15" s="54">
        <v>3364.55</v>
      </c>
      <c r="G15" s="54">
        <v>8261.7900000000009</v>
      </c>
      <c r="H15" s="54">
        <v>4523.0200000000004</v>
      </c>
      <c r="I15" s="54">
        <v>7925.71</v>
      </c>
      <c r="J15" s="54">
        <v>3969.47</v>
      </c>
      <c r="K15" s="54">
        <v>2632.63</v>
      </c>
      <c r="L15" s="54">
        <v>4117.53</v>
      </c>
      <c r="M15" s="54"/>
      <c r="N15" s="55"/>
      <c r="O15" s="144">
        <f>SUM(Tabla5[[#This Row],[Gener]:[Desembre]])</f>
        <v>51875.189999999995</v>
      </c>
    </row>
    <row r="16" spans="1:15" x14ac:dyDescent="0.25">
      <c r="A16" s="116">
        <v>13</v>
      </c>
      <c r="B16" s="113" t="s">
        <v>42</v>
      </c>
      <c r="C16" s="58">
        <v>16040</v>
      </c>
      <c r="D16" s="54">
        <v>8495.6</v>
      </c>
      <c r="E16" s="54">
        <v>12460</v>
      </c>
      <c r="F16" s="54">
        <v>13716.23</v>
      </c>
      <c r="G16" s="54">
        <v>5740</v>
      </c>
      <c r="H16" s="54">
        <v>6302</v>
      </c>
      <c r="I16" s="54">
        <v>13125.48</v>
      </c>
      <c r="J16" s="54">
        <v>13399.04</v>
      </c>
      <c r="K16" s="54">
        <v>7020</v>
      </c>
      <c r="L16" s="54">
        <v>10045.11</v>
      </c>
      <c r="M16" s="54"/>
      <c r="N16" s="55"/>
      <c r="O16" s="144">
        <f>SUM(Tabla5[[#This Row],[Gener]:[Desembre]])</f>
        <v>106343.46</v>
      </c>
    </row>
    <row r="17" spans="1:15" x14ac:dyDescent="0.25">
      <c r="A17" s="116">
        <v>14</v>
      </c>
      <c r="B17" s="112" t="s">
        <v>11</v>
      </c>
      <c r="C17" s="58"/>
      <c r="D17" s="54"/>
      <c r="E17" s="54"/>
      <c r="F17" s="54"/>
      <c r="G17" s="54"/>
      <c r="H17" s="54"/>
      <c r="I17" s="54"/>
      <c r="J17" s="54"/>
      <c r="K17" s="54">
        <v>0</v>
      </c>
      <c r="L17" s="54">
        <v>0</v>
      </c>
      <c r="M17" s="54"/>
      <c r="N17" s="55"/>
      <c r="O17" s="144">
        <f>SUM(Tabla5[[#This Row],[Gener]:[Desembre]])</f>
        <v>0</v>
      </c>
    </row>
    <row r="18" spans="1:15" x14ac:dyDescent="0.25">
      <c r="A18" s="116">
        <v>15</v>
      </c>
      <c r="B18" s="112" t="s">
        <v>12</v>
      </c>
      <c r="C18" s="58">
        <v>15993.85</v>
      </c>
      <c r="D18" s="54">
        <v>11175.44</v>
      </c>
      <c r="E18" s="54">
        <v>12086.08</v>
      </c>
      <c r="F18" s="54">
        <v>21885.439999999999</v>
      </c>
      <c r="G18" s="54">
        <v>18350.599999999999</v>
      </c>
      <c r="H18" s="54">
        <v>11124.38</v>
      </c>
      <c r="I18" s="54">
        <v>18970.45</v>
      </c>
      <c r="J18" s="54">
        <v>16108.61</v>
      </c>
      <c r="K18" s="54">
        <v>11223.64</v>
      </c>
      <c r="L18" s="54">
        <v>17511.86</v>
      </c>
      <c r="M18" s="54"/>
      <c r="N18" s="55"/>
      <c r="O18" s="144">
        <f>SUM(Tabla5[[#This Row],[Gener]:[Desembre]])</f>
        <v>154430.34999999998</v>
      </c>
    </row>
    <row r="19" spans="1:15" x14ac:dyDescent="0.25">
      <c r="A19" s="116">
        <v>16</v>
      </c>
      <c r="B19" s="112" t="s">
        <v>13</v>
      </c>
      <c r="C19" s="58"/>
      <c r="D19" s="54"/>
      <c r="E19" s="54"/>
      <c r="F19" s="54"/>
      <c r="G19" s="54"/>
      <c r="H19" s="54"/>
      <c r="I19" s="54"/>
      <c r="J19" s="54"/>
      <c r="K19" s="54">
        <v>0</v>
      </c>
      <c r="L19" s="54">
        <v>0</v>
      </c>
      <c r="M19" s="54"/>
      <c r="N19" s="55"/>
      <c r="O19" s="144">
        <f>SUM(Tabla5[[#This Row],[Gener]:[Desembre]])</f>
        <v>0</v>
      </c>
    </row>
    <row r="20" spans="1:15" x14ac:dyDescent="0.25">
      <c r="A20" s="116">
        <v>17</v>
      </c>
      <c r="B20" s="112" t="s">
        <v>14</v>
      </c>
      <c r="C20" s="58">
        <f>11773.79+620</f>
        <v>12393.79</v>
      </c>
      <c r="D20" s="54">
        <f>6207.59+1340</f>
        <v>7547.59</v>
      </c>
      <c r="E20" s="54">
        <f>11049.45+700</f>
        <v>11749.45</v>
      </c>
      <c r="F20" s="54">
        <f>7526.82+540</f>
        <v>8066.82</v>
      </c>
      <c r="G20" s="54">
        <f>10374.01+1880</f>
        <v>12254.01</v>
      </c>
      <c r="H20" s="54">
        <f>9487.14+880</f>
        <v>10367.14</v>
      </c>
      <c r="I20" s="54">
        <v>9200.36</v>
      </c>
      <c r="J20" s="54">
        <f>6319.59+820</f>
        <v>7139.59</v>
      </c>
      <c r="K20" s="54">
        <v>11676.36</v>
      </c>
      <c r="L20" s="54">
        <v>10695.23</v>
      </c>
      <c r="M20" s="54"/>
      <c r="N20" s="55"/>
      <c r="O20" s="144">
        <f>SUM(Tabla5[[#This Row],[Gener]:[Desembre]])</f>
        <v>101090.34</v>
      </c>
    </row>
    <row r="21" spans="1:15" x14ac:dyDescent="0.25">
      <c r="A21" s="116">
        <v>18</v>
      </c>
      <c r="B21" s="112" t="s">
        <v>15</v>
      </c>
      <c r="C21" s="58">
        <v>83430.53</v>
      </c>
      <c r="D21" s="54">
        <v>50255.08</v>
      </c>
      <c r="E21" s="54">
        <f>66563.51+360</f>
        <v>66923.509999999995</v>
      </c>
      <c r="F21" s="54">
        <v>77157.14</v>
      </c>
      <c r="G21" s="54">
        <v>51162.27</v>
      </c>
      <c r="H21" s="54">
        <v>94993.43</v>
      </c>
      <c r="I21" s="54">
        <v>54974.29</v>
      </c>
      <c r="J21" s="54">
        <v>80018.460000000006</v>
      </c>
      <c r="K21" s="54">
        <v>71459.05</v>
      </c>
      <c r="L21" s="54">
        <v>69425.490000000005</v>
      </c>
      <c r="M21" s="54"/>
      <c r="N21" s="55"/>
      <c r="O21" s="144">
        <f>SUM(Tabla5[[#This Row],[Gener]:[Desembre]])</f>
        <v>699799.25</v>
      </c>
    </row>
    <row r="22" spans="1:15" x14ac:dyDescent="0.25">
      <c r="A22" s="116">
        <v>19</v>
      </c>
      <c r="B22" s="112" t="s">
        <v>16</v>
      </c>
      <c r="C22" s="58">
        <f>811.03+14900+1080</f>
        <v>16791.03</v>
      </c>
      <c r="D22" s="54">
        <f>10540+655</f>
        <v>11195</v>
      </c>
      <c r="E22" s="54">
        <f>15920+775</f>
        <v>16695</v>
      </c>
      <c r="F22" s="54">
        <f>10820+1217.84</f>
        <v>12037.84</v>
      </c>
      <c r="G22" s="54">
        <f>10300+945.64</f>
        <v>11245.64</v>
      </c>
      <c r="H22" s="54">
        <f>10640+614.55</f>
        <v>11254.55</v>
      </c>
      <c r="I22" s="54">
        <v>7107.14</v>
      </c>
      <c r="J22" s="54">
        <f>12540+874.29</f>
        <v>13414.29</v>
      </c>
      <c r="K22" s="54">
        <v>15744</v>
      </c>
      <c r="L22" s="54">
        <v>11256.36</v>
      </c>
      <c r="M22" s="54"/>
      <c r="N22" s="55"/>
      <c r="O22" s="144">
        <f>SUM(Tabla5[[#This Row],[Gener]:[Desembre]])</f>
        <v>126740.84999999999</v>
      </c>
    </row>
    <row r="23" spans="1:15" x14ac:dyDescent="0.25">
      <c r="A23" s="116">
        <v>20</v>
      </c>
      <c r="B23" s="112" t="s">
        <v>17</v>
      </c>
      <c r="C23" s="58"/>
      <c r="D23" s="54"/>
      <c r="E23" s="54"/>
      <c r="F23" s="54"/>
      <c r="G23" s="54"/>
      <c r="H23" s="54"/>
      <c r="I23" s="54"/>
      <c r="J23" s="54"/>
      <c r="K23" s="54">
        <v>0</v>
      </c>
      <c r="L23" s="54">
        <v>0</v>
      </c>
      <c r="M23" s="54"/>
      <c r="N23" s="55"/>
      <c r="O23" s="144">
        <f>SUM(Tabla5[[#This Row],[Gener]:[Desembre]])</f>
        <v>0</v>
      </c>
    </row>
    <row r="24" spans="1:15" x14ac:dyDescent="0.25">
      <c r="A24" s="116">
        <v>21</v>
      </c>
      <c r="B24" s="112" t="s">
        <v>18</v>
      </c>
      <c r="C24" s="58">
        <v>1960</v>
      </c>
      <c r="D24" s="54">
        <v>1443.33</v>
      </c>
      <c r="E24" s="54"/>
      <c r="F24" s="54">
        <v>2403.08</v>
      </c>
      <c r="G24" s="54">
        <v>1734.05</v>
      </c>
      <c r="H24" s="54">
        <v>2957.89</v>
      </c>
      <c r="I24" s="54">
        <v>2250</v>
      </c>
      <c r="J24" s="54">
        <v>2211.91</v>
      </c>
      <c r="K24" s="54">
        <v>2932.94</v>
      </c>
      <c r="L24" s="54">
        <v>1617.78</v>
      </c>
      <c r="M24" s="54"/>
      <c r="N24" s="55"/>
      <c r="O24" s="144">
        <f>SUM(Tabla5[[#This Row],[Gener]:[Desembre]])</f>
        <v>19510.98</v>
      </c>
    </row>
    <row r="25" spans="1:15" x14ac:dyDescent="0.25">
      <c r="A25" s="116">
        <v>22</v>
      </c>
      <c r="B25" s="112" t="s">
        <v>19</v>
      </c>
      <c r="C25" s="58">
        <v>30360</v>
      </c>
      <c r="D25" s="54">
        <v>31776.23</v>
      </c>
      <c r="E25" s="54">
        <v>23338.34</v>
      </c>
      <c r="F25" s="54">
        <v>24079.06</v>
      </c>
      <c r="G25" s="54">
        <v>16930</v>
      </c>
      <c r="H25" s="54">
        <v>14605.31</v>
      </c>
      <c r="I25" s="54">
        <v>42970.19</v>
      </c>
      <c r="J25" s="54">
        <v>11088.73</v>
      </c>
      <c r="K25" s="54">
        <v>24921.25</v>
      </c>
      <c r="L25" s="54">
        <v>26729.49</v>
      </c>
      <c r="M25" s="54"/>
      <c r="N25" s="55"/>
      <c r="O25" s="144">
        <f>SUM(Tabla5[[#This Row],[Gener]:[Desembre]])</f>
        <v>246798.6</v>
      </c>
    </row>
    <row r="26" spans="1:15" x14ac:dyDescent="0.25">
      <c r="A26" s="116">
        <v>23</v>
      </c>
      <c r="B26" s="113" t="s">
        <v>43</v>
      </c>
      <c r="C26" s="58">
        <v>15140</v>
      </c>
      <c r="D26" s="54">
        <v>10873.33</v>
      </c>
      <c r="E26" s="54">
        <v>21824.91</v>
      </c>
      <c r="F26" s="54">
        <v>17241.86</v>
      </c>
      <c r="G26" s="54">
        <v>28119.06</v>
      </c>
      <c r="H26" s="54">
        <v>15918.5</v>
      </c>
      <c r="I26" s="54">
        <v>18320</v>
      </c>
      <c r="J26" s="54">
        <v>24402.35</v>
      </c>
      <c r="K26" s="54">
        <v>24279.4</v>
      </c>
      <c r="L26" s="54">
        <v>13412.77</v>
      </c>
      <c r="M26" s="54"/>
      <c r="N26" s="55"/>
      <c r="O26" s="144">
        <f>SUM(Tabla5[[#This Row],[Gener]:[Desembre]])</f>
        <v>189532.18</v>
      </c>
    </row>
    <row r="27" spans="1:15" x14ac:dyDescent="0.25">
      <c r="A27" s="116">
        <v>24</v>
      </c>
      <c r="B27" s="113" t="s">
        <v>44</v>
      </c>
      <c r="C27" s="58">
        <v>13686.91</v>
      </c>
      <c r="D27" s="54">
        <v>8162.64</v>
      </c>
      <c r="E27" s="54">
        <v>17222.37</v>
      </c>
      <c r="F27" s="54">
        <v>12017.62</v>
      </c>
      <c r="G27" s="54">
        <v>10509.9</v>
      </c>
      <c r="H27" s="54">
        <v>13821.26</v>
      </c>
      <c r="I27" s="54">
        <v>12488.56</v>
      </c>
      <c r="J27" s="54">
        <v>17271.29</v>
      </c>
      <c r="K27" s="54">
        <v>11807.66</v>
      </c>
      <c r="L27" s="54">
        <v>5369.77</v>
      </c>
      <c r="M27" s="54"/>
      <c r="N27" s="55"/>
      <c r="O27" s="144">
        <f>SUM(Tabla5[[#This Row],[Gener]:[Desembre]])</f>
        <v>122357.98</v>
      </c>
    </row>
    <row r="28" spans="1:15" x14ac:dyDescent="0.25">
      <c r="A28" s="116">
        <v>25</v>
      </c>
      <c r="B28" s="112" t="s">
        <v>20</v>
      </c>
      <c r="C28" s="58">
        <v>32296.85</v>
      </c>
      <c r="D28" s="54">
        <v>15190.45</v>
      </c>
      <c r="E28" s="54">
        <v>41385.57</v>
      </c>
      <c r="F28" s="54">
        <v>32830.870000000003</v>
      </c>
      <c r="G28" s="54">
        <v>18276.2</v>
      </c>
      <c r="H28" s="54">
        <v>20504.82</v>
      </c>
      <c r="I28" s="54">
        <v>32089.02</v>
      </c>
      <c r="J28" s="54">
        <v>27964.98</v>
      </c>
      <c r="K28" s="54">
        <v>38284.910000000003</v>
      </c>
      <c r="L28" s="54">
        <v>28958.98</v>
      </c>
      <c r="M28" s="54"/>
      <c r="N28" s="55"/>
      <c r="O28" s="144">
        <f>SUM(Tabla5[[#This Row],[Gener]:[Desembre]])</f>
        <v>287782.65000000002</v>
      </c>
    </row>
    <row r="29" spans="1:15" x14ac:dyDescent="0.25">
      <c r="A29" s="116">
        <v>26</v>
      </c>
      <c r="B29" s="113" t="s">
        <v>45</v>
      </c>
      <c r="C29" s="58">
        <v>7380</v>
      </c>
      <c r="D29" s="54">
        <v>7640</v>
      </c>
      <c r="E29" s="54">
        <v>5560</v>
      </c>
      <c r="F29" s="54">
        <v>5460</v>
      </c>
      <c r="G29" s="54">
        <v>6560</v>
      </c>
      <c r="H29" s="54">
        <v>6200</v>
      </c>
      <c r="I29" s="54">
        <v>9520</v>
      </c>
      <c r="J29" s="54">
        <v>6500</v>
      </c>
      <c r="K29" s="54">
        <v>6400</v>
      </c>
      <c r="L29" s="54">
        <v>6900</v>
      </c>
      <c r="M29" s="54"/>
      <c r="N29" s="55"/>
      <c r="O29" s="144">
        <f>SUM(Tabla5[[#This Row],[Gener]:[Desembre]])</f>
        <v>68120</v>
      </c>
    </row>
    <row r="30" spans="1:15" x14ac:dyDescent="0.25">
      <c r="A30" s="116">
        <v>27</v>
      </c>
      <c r="B30" s="113" t="s">
        <v>46</v>
      </c>
      <c r="C30" s="58"/>
      <c r="D30" s="54"/>
      <c r="E30" s="54"/>
      <c r="F30" s="54"/>
      <c r="G30" s="54"/>
      <c r="H30" s="54"/>
      <c r="I30" s="54"/>
      <c r="J30" s="54"/>
      <c r="K30" s="54">
        <v>0</v>
      </c>
      <c r="L30" s="54">
        <v>0</v>
      </c>
      <c r="M30" s="54"/>
      <c r="N30" s="55"/>
      <c r="O30" s="144">
        <f>SUM(Tabla5[[#This Row],[Gener]:[Desembre]])</f>
        <v>0</v>
      </c>
    </row>
    <row r="31" spans="1:15" x14ac:dyDescent="0.25">
      <c r="A31" s="116">
        <v>28</v>
      </c>
      <c r="B31" s="113" t="s">
        <v>47</v>
      </c>
      <c r="C31" s="58">
        <v>15484.45</v>
      </c>
      <c r="D31" s="54">
        <v>8302.02</v>
      </c>
      <c r="E31" s="54">
        <v>16379.39</v>
      </c>
      <c r="F31" s="54">
        <v>14140.94</v>
      </c>
      <c r="G31" s="54">
        <v>13808.9</v>
      </c>
      <c r="H31" s="54">
        <v>12082.4</v>
      </c>
      <c r="I31" s="54">
        <v>11143.41</v>
      </c>
      <c r="J31" s="54">
        <v>11904.79</v>
      </c>
      <c r="K31" s="54">
        <v>13874.67</v>
      </c>
      <c r="L31" s="54">
        <v>16164.33</v>
      </c>
      <c r="M31" s="54"/>
      <c r="N31" s="55"/>
      <c r="O31" s="144">
        <f>SUM(Tabla5[[#This Row],[Gener]:[Desembre]])</f>
        <v>133285.29999999999</v>
      </c>
    </row>
    <row r="32" spans="1:15" x14ac:dyDescent="0.25">
      <c r="A32" s="116">
        <v>29</v>
      </c>
      <c r="B32" s="113" t="s">
        <v>48</v>
      </c>
      <c r="C32" s="58"/>
      <c r="D32" s="54">
        <v>360.83</v>
      </c>
      <c r="E32" s="54"/>
      <c r="F32" s="54">
        <v>247.18</v>
      </c>
      <c r="G32" s="54">
        <v>433.51</v>
      </c>
      <c r="H32" s="54">
        <v>528.41999999999996</v>
      </c>
      <c r="I32" s="54"/>
      <c r="J32" s="54">
        <v>390.97</v>
      </c>
      <c r="K32" s="54">
        <v>417.5</v>
      </c>
      <c r="L32" s="54">
        <v>404.44</v>
      </c>
      <c r="M32" s="54"/>
      <c r="N32" s="55"/>
      <c r="O32" s="144">
        <f>SUM(Tabla5[[#This Row],[Gener]:[Desembre]])</f>
        <v>2782.85</v>
      </c>
    </row>
    <row r="33" spans="1:18" x14ac:dyDescent="0.25">
      <c r="A33" s="116">
        <v>30</v>
      </c>
      <c r="B33" s="113" t="s">
        <v>50</v>
      </c>
      <c r="C33" s="58">
        <v>18120</v>
      </c>
      <c r="D33" s="54">
        <v>15380</v>
      </c>
      <c r="E33" s="54">
        <v>15320</v>
      </c>
      <c r="F33" s="54">
        <v>20140</v>
      </c>
      <c r="G33" s="54">
        <v>15840</v>
      </c>
      <c r="H33" s="54">
        <v>14840</v>
      </c>
      <c r="I33" s="54">
        <v>24540</v>
      </c>
      <c r="J33" s="54">
        <v>16880</v>
      </c>
      <c r="K33" s="54">
        <v>19540</v>
      </c>
      <c r="L33" s="54">
        <v>14300</v>
      </c>
      <c r="M33" s="54"/>
      <c r="N33" s="55"/>
      <c r="O33" s="144">
        <f>SUM(Tabla5[[#This Row],[Gener]:[Desembre]])</f>
        <v>174900</v>
      </c>
    </row>
    <row r="34" spans="1:18" x14ac:dyDescent="0.25">
      <c r="A34" s="116">
        <v>31</v>
      </c>
      <c r="B34" s="113" t="s">
        <v>51</v>
      </c>
      <c r="C34" s="58">
        <v>2740</v>
      </c>
      <c r="D34" s="54">
        <v>1435.29</v>
      </c>
      <c r="E34" s="54">
        <v>7320</v>
      </c>
      <c r="F34" s="54">
        <v>1541.15</v>
      </c>
      <c r="G34" s="54">
        <v>2335.5</v>
      </c>
      <c r="H34" s="54">
        <v>3222.86</v>
      </c>
      <c r="I34" s="54">
        <v>2615.64</v>
      </c>
      <c r="J34" s="54">
        <v>506.21</v>
      </c>
      <c r="K34" s="54">
        <v>2124.7800000000002</v>
      </c>
      <c r="L34" s="54">
        <v>2568.25</v>
      </c>
      <c r="M34" s="54"/>
      <c r="N34" s="55"/>
      <c r="O34" s="144">
        <f>SUM(Tabla5[[#This Row],[Gener]:[Desembre]])</f>
        <v>26409.679999999997</v>
      </c>
    </row>
    <row r="35" spans="1:18" x14ac:dyDescent="0.25">
      <c r="A35" s="116">
        <v>32</v>
      </c>
      <c r="B35" s="113" t="s">
        <v>52</v>
      </c>
      <c r="C35" s="58">
        <v>19650.45</v>
      </c>
      <c r="D35" s="54">
        <v>17556.669999999998</v>
      </c>
      <c r="E35" s="54">
        <v>19003.330000000002</v>
      </c>
      <c r="F35" s="54">
        <v>25281.29</v>
      </c>
      <c r="G35" s="54">
        <v>12815.58</v>
      </c>
      <c r="H35" s="54">
        <v>20061.59</v>
      </c>
      <c r="I35" s="54">
        <v>19554.91</v>
      </c>
      <c r="J35" s="54">
        <v>17142.689999999999</v>
      </c>
      <c r="K35" s="54">
        <v>24724.44</v>
      </c>
      <c r="L35" s="54">
        <v>20984.080000000002</v>
      </c>
      <c r="M35" s="54"/>
      <c r="N35" s="55"/>
      <c r="O35" s="144">
        <f>SUM(Tabla5[[#This Row],[Gener]:[Desembre]])</f>
        <v>196775.02999999997</v>
      </c>
    </row>
    <row r="36" spans="1:18" x14ac:dyDescent="0.25">
      <c r="A36" s="116">
        <v>33</v>
      </c>
      <c r="B36" s="112" t="s">
        <v>21</v>
      </c>
      <c r="C36" s="58">
        <v>1360</v>
      </c>
      <c r="D36" s="54"/>
      <c r="E36" s="54">
        <v>1021.33</v>
      </c>
      <c r="F36" s="54"/>
      <c r="G36" s="54">
        <v>777.78</v>
      </c>
      <c r="H36" s="54"/>
      <c r="I36" s="54">
        <v>1305.45</v>
      </c>
      <c r="J36" s="54"/>
      <c r="K36" s="54">
        <v>1303.6400000000001</v>
      </c>
      <c r="L36" s="54">
        <v>0</v>
      </c>
      <c r="M36" s="54"/>
      <c r="N36" s="55"/>
      <c r="O36" s="144">
        <f>SUM(Tabla5[[#This Row],[Gener]:[Desembre]])</f>
        <v>5768.2</v>
      </c>
    </row>
    <row r="37" spans="1:18" x14ac:dyDescent="0.25">
      <c r="A37" s="116">
        <v>34</v>
      </c>
      <c r="B37" s="112" t="s">
        <v>22</v>
      </c>
      <c r="C37" s="58">
        <v>7457.91</v>
      </c>
      <c r="D37" s="54">
        <v>4036.19</v>
      </c>
      <c r="E37" s="54">
        <v>4643.72</v>
      </c>
      <c r="F37" s="54">
        <v>8464.75</v>
      </c>
      <c r="G37" s="54">
        <v>6049.81</v>
      </c>
      <c r="H37" s="54">
        <v>8048.89</v>
      </c>
      <c r="I37" s="54">
        <v>6183.83</v>
      </c>
      <c r="J37" s="54">
        <v>7198.99</v>
      </c>
      <c r="K37" s="54">
        <v>6449.82</v>
      </c>
      <c r="L37" s="54">
        <v>6445.61</v>
      </c>
      <c r="M37" s="54"/>
      <c r="N37" s="55"/>
      <c r="O37" s="144">
        <f>SUM(Tabla5[[#This Row],[Gener]:[Desembre]])</f>
        <v>64979.520000000004</v>
      </c>
    </row>
    <row r="38" spans="1:18" x14ac:dyDescent="0.25">
      <c r="A38" s="116">
        <v>35</v>
      </c>
      <c r="B38" s="112" t="s">
        <v>23</v>
      </c>
      <c r="C38" s="58">
        <v>13840</v>
      </c>
      <c r="D38" s="54">
        <v>5759.47</v>
      </c>
      <c r="E38" s="54">
        <v>17676</v>
      </c>
      <c r="F38" s="54">
        <v>8937.08</v>
      </c>
      <c r="G38" s="54">
        <v>879.31</v>
      </c>
      <c r="H38" s="54">
        <v>8608.89</v>
      </c>
      <c r="I38" s="54">
        <v>7820</v>
      </c>
      <c r="J38" s="54">
        <v>13880</v>
      </c>
      <c r="K38" s="54">
        <v>9873.33</v>
      </c>
      <c r="L38" s="54">
        <v>7522.2</v>
      </c>
      <c r="M38" s="54"/>
      <c r="N38" s="55"/>
      <c r="O38" s="144">
        <f>SUM(Tabla5[[#This Row],[Gener]:[Desembre]])</f>
        <v>94796.28</v>
      </c>
    </row>
    <row r="39" spans="1:18" x14ac:dyDescent="0.25">
      <c r="A39" s="116">
        <v>36</v>
      </c>
      <c r="B39" s="112" t="s">
        <v>24</v>
      </c>
      <c r="C39" s="58">
        <v>2448</v>
      </c>
      <c r="D39" s="54">
        <v>1134.55</v>
      </c>
      <c r="E39" s="54">
        <v>1607.44</v>
      </c>
      <c r="F39" s="54">
        <v>5813.68</v>
      </c>
      <c r="G39" s="54">
        <v>3606.71</v>
      </c>
      <c r="H39" s="54">
        <v>1526.9</v>
      </c>
      <c r="I39" s="54">
        <v>1987.66</v>
      </c>
      <c r="J39" s="54">
        <v>2243.08</v>
      </c>
      <c r="K39" s="54">
        <v>1470.88</v>
      </c>
      <c r="L39" s="54">
        <v>1795.51</v>
      </c>
      <c r="M39" s="54"/>
      <c r="N39" s="55"/>
      <c r="O39" s="144">
        <f>SUM(Tabla5[[#This Row],[Gener]:[Desembre]])</f>
        <v>23634.410000000003</v>
      </c>
    </row>
    <row r="40" spans="1:18" x14ac:dyDescent="0.25">
      <c r="A40" s="116">
        <v>37</v>
      </c>
      <c r="B40" s="112" t="s">
        <v>25</v>
      </c>
      <c r="C40" s="58">
        <v>8080</v>
      </c>
      <c r="D40" s="54">
        <v>5854.81</v>
      </c>
      <c r="E40" s="54">
        <v>14680</v>
      </c>
      <c r="F40" s="54">
        <v>7556.52</v>
      </c>
      <c r="G40" s="54">
        <v>6300</v>
      </c>
      <c r="H40" s="54">
        <v>9020.59</v>
      </c>
      <c r="I40" s="54">
        <v>23438.78</v>
      </c>
      <c r="J40" s="54">
        <v>12494.26</v>
      </c>
      <c r="K40" s="54">
        <v>21968.18</v>
      </c>
      <c r="L40" s="54">
        <v>9533.35</v>
      </c>
      <c r="M40" s="54"/>
      <c r="N40" s="55"/>
      <c r="O40" s="144">
        <f>SUM(Tabla5[[#This Row],[Gener]:[Desembre]])</f>
        <v>118926.48999999999</v>
      </c>
    </row>
    <row r="41" spans="1:18" x14ac:dyDescent="0.25">
      <c r="A41" s="116">
        <v>38</v>
      </c>
      <c r="B41" s="112" t="s">
        <v>5</v>
      </c>
      <c r="C41" s="58">
        <v>2770.34</v>
      </c>
      <c r="D41" s="54">
        <v>2513.5700000000002</v>
      </c>
      <c r="E41" s="54">
        <v>2875.68</v>
      </c>
      <c r="F41" s="54">
        <v>4158.5600000000004</v>
      </c>
      <c r="G41" s="54">
        <v>3353.87</v>
      </c>
      <c r="H41" s="54">
        <v>2151.7199999999998</v>
      </c>
      <c r="I41" s="54">
        <v>3807.69</v>
      </c>
      <c r="J41" s="54">
        <v>4492.8500000000004</v>
      </c>
      <c r="K41" s="54">
        <v>4190.59</v>
      </c>
      <c r="L41" s="54">
        <v>2694.83</v>
      </c>
      <c r="M41" s="54"/>
      <c r="N41" s="55"/>
      <c r="O41" s="144">
        <f>SUM(Tabla5[[#This Row],[Gener]:[Desembre]])</f>
        <v>33009.699999999997</v>
      </c>
    </row>
    <row r="42" spans="1:18" x14ac:dyDescent="0.25">
      <c r="A42" s="116">
        <v>39</v>
      </c>
      <c r="B42" s="112" t="s">
        <v>6</v>
      </c>
      <c r="C42" s="58">
        <v>4037.24</v>
      </c>
      <c r="D42" s="54">
        <v>4747.8599999999997</v>
      </c>
      <c r="E42" s="54">
        <v>3491.89</v>
      </c>
      <c r="F42" s="54">
        <v>5809.45</v>
      </c>
      <c r="G42" s="54">
        <v>4127.84</v>
      </c>
      <c r="H42" s="54">
        <v>2582.0700000000002</v>
      </c>
      <c r="I42" s="54">
        <v>4823.08</v>
      </c>
      <c r="J42" s="54">
        <v>4802.5</v>
      </c>
      <c r="K42" s="54">
        <v>3991.06</v>
      </c>
      <c r="L42" s="54">
        <v>4056.77</v>
      </c>
      <c r="M42" s="54"/>
      <c r="N42" s="296"/>
      <c r="O42" s="144">
        <f>SUM(Tabla5[[#This Row],[Gener]:[Desembre]])</f>
        <v>42469.759999999995</v>
      </c>
    </row>
    <row r="43" spans="1:18" x14ac:dyDescent="0.25">
      <c r="A43" s="116">
        <v>40</v>
      </c>
      <c r="B43" s="112" t="s">
        <v>8</v>
      </c>
      <c r="C43" s="58">
        <v>852.41</v>
      </c>
      <c r="D43" s="54">
        <v>279.29000000000002</v>
      </c>
      <c r="E43" s="54">
        <v>1027.03</v>
      </c>
      <c r="F43" s="54">
        <v>1222.5</v>
      </c>
      <c r="G43" s="54">
        <v>903.04</v>
      </c>
      <c r="H43" s="54">
        <v>430.34</v>
      </c>
      <c r="I43" s="54">
        <v>1269.23</v>
      </c>
      <c r="J43" s="54">
        <v>1073.51</v>
      </c>
      <c r="K43" s="54">
        <v>756</v>
      </c>
      <c r="L43" s="54">
        <v>1151.3699999999999</v>
      </c>
      <c r="M43" s="54"/>
      <c r="N43" s="296"/>
      <c r="O43" s="144">
        <f>SUM(Tabla5[[#This Row],[Gener]:[Desembre]])</f>
        <v>8964.7200000000012</v>
      </c>
    </row>
    <row r="44" spans="1:18" ht="15.75" thickBot="1" x14ac:dyDescent="0.3">
      <c r="A44" s="283">
        <v>41</v>
      </c>
      <c r="B44" s="284" t="s">
        <v>49</v>
      </c>
      <c r="C44" s="285"/>
      <c r="D44" s="286"/>
      <c r="E44" s="286"/>
      <c r="F44" s="286"/>
      <c r="G44" s="286"/>
      <c r="H44" s="286"/>
      <c r="I44" s="286"/>
      <c r="J44" s="286"/>
      <c r="K44" s="286">
        <v>0</v>
      </c>
      <c r="L44" s="286">
        <v>0</v>
      </c>
      <c r="M44" s="286"/>
      <c r="N44" s="297"/>
      <c r="O44" s="145">
        <f>SUM(Tabla5[[#This Row],[Gener]:[Desembre]])</f>
        <v>0</v>
      </c>
      <c r="R44" s="307"/>
    </row>
    <row r="45" spans="1:18" s="4" customFormat="1" ht="15.75" thickBot="1" x14ac:dyDescent="0.3">
      <c r="A45" s="288"/>
      <c r="B45" s="289" t="s">
        <v>38</v>
      </c>
      <c r="C45" s="290">
        <f t="shared" ref="C45:N45" si="0">SUBTOTAL(109,C5:C44)</f>
        <v>624320.56999999995</v>
      </c>
      <c r="D45" s="291">
        <f t="shared" si="0"/>
        <v>457183.09</v>
      </c>
      <c r="E45" s="291">
        <f t="shared" si="0"/>
        <v>545729.31000000006</v>
      </c>
      <c r="F45" s="291">
        <f t="shared" si="0"/>
        <v>621077.87000000011</v>
      </c>
      <c r="G45" s="291">
        <f t="shared" si="0"/>
        <v>451311.60000000015</v>
      </c>
      <c r="H45" s="291">
        <f t="shared" si="0"/>
        <v>537072.03999999992</v>
      </c>
      <c r="I45" s="291">
        <f t="shared" si="0"/>
        <v>597192.22999999986</v>
      </c>
      <c r="J45" s="291">
        <f t="shared" si="0"/>
        <v>562194.68999999971</v>
      </c>
      <c r="K45" s="291">
        <f t="shared" si="0"/>
        <v>586630</v>
      </c>
      <c r="L45" s="291">
        <f t="shared" si="0"/>
        <v>509111.1700000001</v>
      </c>
      <c r="M45" s="291">
        <f t="shared" si="0"/>
        <v>0</v>
      </c>
      <c r="N45" s="298">
        <f t="shared" si="0"/>
        <v>0</v>
      </c>
      <c r="O45" s="302">
        <f>SUBTOTAL(109,O5:O44)</f>
        <v>5491822.5700000003</v>
      </c>
    </row>
    <row r="46" spans="1:18" s="4" customFormat="1" ht="15.75" thickBot="1" x14ac:dyDescent="0.3">
      <c r="A46" s="292"/>
      <c r="B46" s="293" t="s">
        <v>68</v>
      </c>
      <c r="C46" s="294">
        <v>2939.41</v>
      </c>
      <c r="D46" s="292">
        <v>2116.91</v>
      </c>
      <c r="E46" s="292">
        <v>3170.67</v>
      </c>
      <c r="F46" s="292">
        <v>4102.1499999999996</v>
      </c>
      <c r="G46" s="292">
        <v>3928.39</v>
      </c>
      <c r="H46" s="292">
        <v>4847.97</v>
      </c>
      <c r="I46" s="292">
        <v>4867.78</v>
      </c>
      <c r="J46" s="292">
        <v>4675.32</v>
      </c>
      <c r="K46" s="292">
        <v>5230</v>
      </c>
      <c r="L46" s="417">
        <v>3868.83</v>
      </c>
      <c r="M46" s="292"/>
      <c r="N46" s="299"/>
      <c r="O46" s="304">
        <f>SUM(Tabla5[[#This Row],[Gener]:[Desembre]])</f>
        <v>39747.43</v>
      </c>
    </row>
    <row r="47" spans="1:18" s="4" customFormat="1" ht="15.75" thickBot="1" x14ac:dyDescent="0.3">
      <c r="A47" s="281"/>
      <c r="B47" s="295" t="s">
        <v>135</v>
      </c>
      <c r="C47" s="282">
        <f>C45+C46</f>
        <v>627259.98</v>
      </c>
      <c r="D47" s="281">
        <f t="shared" ref="D47:N47" si="1">D45+D46</f>
        <v>459300</v>
      </c>
      <c r="E47" s="281">
        <f t="shared" si="1"/>
        <v>548899.9800000001</v>
      </c>
      <c r="F47" s="281">
        <f t="shared" si="1"/>
        <v>625180.02000000014</v>
      </c>
      <c r="G47" s="281">
        <f t="shared" si="1"/>
        <v>455239.99000000017</v>
      </c>
      <c r="H47" s="281">
        <f t="shared" si="1"/>
        <v>541920.00999999989</v>
      </c>
      <c r="I47" s="281">
        <f t="shared" si="1"/>
        <v>602060.00999999989</v>
      </c>
      <c r="J47" s="281">
        <f t="shared" si="1"/>
        <v>566870.00999999966</v>
      </c>
      <c r="K47" s="281">
        <f t="shared" si="1"/>
        <v>591860</v>
      </c>
      <c r="L47" s="281">
        <f t="shared" si="1"/>
        <v>512980.00000000012</v>
      </c>
      <c r="M47" s="281">
        <f t="shared" si="1"/>
        <v>0</v>
      </c>
      <c r="N47" s="300">
        <f t="shared" si="1"/>
        <v>0</v>
      </c>
      <c r="O47" s="287">
        <f>SUM(Tabla5[[#This Row],[Gener]:[Desembre]])</f>
        <v>5531569.9999999991</v>
      </c>
    </row>
    <row r="48" spans="1:18" ht="15.75" thickBot="1" x14ac:dyDescent="0.3">
      <c r="A48" s="110"/>
      <c r="B48" s="29" t="s">
        <v>124</v>
      </c>
      <c r="C48" s="30">
        <v>726420.00000000012</v>
      </c>
      <c r="D48" s="31">
        <v>449399.99000000011</v>
      </c>
      <c r="E48" s="31">
        <v>555159.99999999977</v>
      </c>
      <c r="F48" s="31">
        <v>510319.98999999993</v>
      </c>
      <c r="G48" s="31">
        <v>465120.02</v>
      </c>
      <c r="H48" s="31">
        <v>611160.01000000013</v>
      </c>
      <c r="I48" s="31">
        <v>671139.98</v>
      </c>
      <c r="J48" s="31">
        <v>550080.00000000023</v>
      </c>
      <c r="K48" s="31">
        <v>554559.98999999987</v>
      </c>
      <c r="L48" s="31">
        <v>484320.0199999999</v>
      </c>
      <c r="M48" s="31">
        <v>515559.98999999993</v>
      </c>
      <c r="N48" s="301">
        <v>617980.03000000026</v>
      </c>
      <c r="O48" s="303">
        <f>SUM(Tabla5[[#This Row],[Gener]:[Desembre]])</f>
        <v>6711220.0200000005</v>
      </c>
    </row>
    <row r="49" spans="1:15" ht="15.75" thickBot="1" x14ac:dyDescent="0.3">
      <c r="A49" s="110"/>
      <c r="B49" s="90" t="s">
        <v>58</v>
      </c>
      <c r="C49" s="91">
        <f t="shared" ref="C49:O49" si="2">(C45/C48)-1</f>
        <v>-0.14055151289887413</v>
      </c>
      <c r="D49" s="91">
        <f t="shared" si="2"/>
        <v>1.7318869989293662E-2</v>
      </c>
      <c r="E49" s="91">
        <f t="shared" si="2"/>
        <v>-1.6987336983932066E-2</v>
      </c>
      <c r="F49" s="91">
        <f t="shared" si="2"/>
        <v>0.21703613844325442</v>
      </c>
      <c r="G49" s="91">
        <f t="shared" si="2"/>
        <v>-2.9687864220507842E-2</v>
      </c>
      <c r="H49" s="91">
        <f t="shared" si="2"/>
        <v>-0.12122516000351558</v>
      </c>
      <c r="I49" s="91">
        <f t="shared" si="2"/>
        <v>-0.11018230503865989</v>
      </c>
      <c r="J49" s="91">
        <f t="shared" si="2"/>
        <v>2.2023505671901367E-2</v>
      </c>
      <c r="K49" s="91">
        <f t="shared" si="2"/>
        <v>5.7829649773327718E-2</v>
      </c>
      <c r="L49" s="91">
        <f t="shared" si="2"/>
        <v>5.1187539181221986E-2</v>
      </c>
      <c r="M49" s="91">
        <f t="shared" si="2"/>
        <v>-1</v>
      </c>
      <c r="N49" s="91">
        <f t="shared" si="2"/>
        <v>-1</v>
      </c>
      <c r="O49" s="91">
        <f t="shared" si="2"/>
        <v>-0.18169534695123879</v>
      </c>
    </row>
  </sheetData>
  <sheetProtection sheet="1" objects="1" scenarios="1"/>
  <pageMargins left="0.19685039370078741" right="0.19685039370078741" top="0.31496062992125984" bottom="0.31496062992125984" header="0.15748031496062992" footer="0.15748031496062992"/>
  <pageSetup paperSize="9" scale="73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Zeros="0" zoomScaleNormal="100" workbookViewId="0">
      <pane xSplit="2" ySplit="3" topLeftCell="C4" activePane="bottomRight" state="frozen"/>
      <selection activeCell="H11" sqref="H11"/>
      <selection pane="topRight" activeCell="H11" sqref="H11"/>
      <selection pane="bottomLeft" activeCell="H11" sqref="H11"/>
      <selection pane="bottomRight" activeCell="I30" sqref="I30"/>
    </sheetView>
  </sheetViews>
  <sheetFormatPr baseColWidth="10" defaultColWidth="11.42578125" defaultRowHeight="15" x14ac:dyDescent="0.25"/>
  <cols>
    <col min="1" max="1" width="5.7109375" style="3" customWidth="1"/>
    <col min="2" max="2" width="26.140625" style="20" bestFit="1" customWidth="1"/>
    <col min="3" max="14" width="11.7109375" style="2" customWidth="1"/>
    <col min="15" max="15" width="11.42578125" style="103"/>
    <col min="16" max="16384" width="11.42578125" style="3"/>
  </cols>
  <sheetData>
    <row r="1" spans="1:15" ht="15.75" x14ac:dyDescent="0.25">
      <c r="B1" s="1" t="s">
        <v>139</v>
      </c>
    </row>
    <row r="2" spans="1:15" ht="15.75" thickBot="1" x14ac:dyDescent="0.3">
      <c r="C2" s="4" t="s">
        <v>55</v>
      </c>
    </row>
    <row r="3" spans="1:15" ht="15.75" thickBot="1" x14ac:dyDescent="0.3">
      <c r="A3" s="152" t="s">
        <v>59</v>
      </c>
      <c r="B3" s="149" t="s">
        <v>57</v>
      </c>
      <c r="C3" s="156" t="s">
        <v>26</v>
      </c>
      <c r="D3" s="157" t="s">
        <v>27</v>
      </c>
      <c r="E3" s="157" t="s">
        <v>28</v>
      </c>
      <c r="F3" s="157" t="s">
        <v>29</v>
      </c>
      <c r="G3" s="157" t="s">
        <v>30</v>
      </c>
      <c r="H3" s="157" t="s">
        <v>31</v>
      </c>
      <c r="I3" s="157" t="s">
        <v>32</v>
      </c>
      <c r="J3" s="157" t="s">
        <v>33</v>
      </c>
      <c r="K3" s="157" t="s">
        <v>34</v>
      </c>
      <c r="L3" s="157" t="s">
        <v>35</v>
      </c>
      <c r="M3" s="157" t="s">
        <v>36</v>
      </c>
      <c r="N3" s="158" t="s">
        <v>37</v>
      </c>
      <c r="O3" s="172" t="s">
        <v>38</v>
      </c>
    </row>
    <row r="4" spans="1:15" x14ac:dyDescent="0.25">
      <c r="A4" s="153">
        <v>1</v>
      </c>
      <c r="B4" s="150" t="s">
        <v>39</v>
      </c>
      <c r="C4" s="161">
        <v>231220</v>
      </c>
      <c r="D4" s="162">
        <v>205260</v>
      </c>
      <c r="E4" s="162">
        <v>242300</v>
      </c>
      <c r="F4" s="162">
        <v>226780</v>
      </c>
      <c r="G4" s="162">
        <v>247260</v>
      </c>
      <c r="H4" s="162">
        <v>247400</v>
      </c>
      <c r="I4" s="162">
        <v>254320</v>
      </c>
      <c r="J4" s="162">
        <v>230980</v>
      </c>
      <c r="K4" s="163">
        <v>234180</v>
      </c>
      <c r="L4" s="418">
        <v>220980</v>
      </c>
      <c r="M4" s="163"/>
      <c r="N4" s="164"/>
      <c r="O4" s="171">
        <f>SUM(Tabla12[[#This Row],[Gener]:[Desembre]])</f>
        <v>2340680</v>
      </c>
    </row>
    <row r="5" spans="1:15" x14ac:dyDescent="0.25">
      <c r="A5" s="154">
        <v>2</v>
      </c>
      <c r="B5" s="150" t="s">
        <v>0</v>
      </c>
      <c r="C5" s="165"/>
      <c r="D5" s="119"/>
      <c r="E5" s="119"/>
      <c r="F5" s="119"/>
      <c r="G5" s="119"/>
      <c r="H5" s="119"/>
      <c r="I5" s="119"/>
      <c r="J5" s="119"/>
      <c r="K5" s="85"/>
      <c r="L5" s="419">
        <v>0</v>
      </c>
      <c r="M5" s="85"/>
      <c r="N5" s="166"/>
      <c r="O5" s="159">
        <v>0</v>
      </c>
    </row>
    <row r="6" spans="1:15" x14ac:dyDescent="0.25">
      <c r="A6" s="154">
        <v>3</v>
      </c>
      <c r="B6" s="150" t="s">
        <v>1</v>
      </c>
      <c r="C6" s="165"/>
      <c r="D6" s="119"/>
      <c r="E6" s="119"/>
      <c r="F6" s="119"/>
      <c r="G6" s="119"/>
      <c r="H6" s="119"/>
      <c r="I6" s="119"/>
      <c r="J6" s="119"/>
      <c r="K6" s="85"/>
      <c r="L6" s="419">
        <v>0</v>
      </c>
      <c r="M6" s="85"/>
      <c r="N6" s="166"/>
      <c r="O6" s="159">
        <v>0</v>
      </c>
    </row>
    <row r="7" spans="1:15" x14ac:dyDescent="0.25">
      <c r="A7" s="154">
        <v>4</v>
      </c>
      <c r="B7" s="150" t="s">
        <v>2</v>
      </c>
      <c r="C7" s="165">
        <v>9599</v>
      </c>
      <c r="D7" s="119">
        <v>8872.23</v>
      </c>
      <c r="E7" s="119">
        <v>12281</v>
      </c>
      <c r="F7" s="119">
        <v>11770</v>
      </c>
      <c r="G7" s="119">
        <v>13027</v>
      </c>
      <c r="H7" s="119">
        <v>14842</v>
      </c>
      <c r="I7" s="119">
        <v>13424</v>
      </c>
      <c r="J7" s="119">
        <v>15941</v>
      </c>
      <c r="K7" s="85">
        <v>11505</v>
      </c>
      <c r="L7" s="419">
        <v>13754</v>
      </c>
      <c r="M7" s="85"/>
      <c r="N7" s="166"/>
      <c r="O7" s="159">
        <f>SUM(Tabla12[[#This Row],[Gener]:[Desembre]])</f>
        <v>125015.23</v>
      </c>
    </row>
    <row r="8" spans="1:15" x14ac:dyDescent="0.25">
      <c r="A8" s="154">
        <v>5</v>
      </c>
      <c r="B8" s="150" t="s">
        <v>3</v>
      </c>
      <c r="C8" s="165"/>
      <c r="D8" s="119"/>
      <c r="E8" s="119"/>
      <c r="F8" s="119"/>
      <c r="G8" s="119"/>
      <c r="H8" s="119"/>
      <c r="I8" s="119"/>
      <c r="J8" s="119"/>
      <c r="K8" s="85"/>
      <c r="L8" s="419">
        <v>0</v>
      </c>
      <c r="M8" s="85"/>
      <c r="N8" s="166"/>
      <c r="O8" s="159">
        <v>0</v>
      </c>
    </row>
    <row r="9" spans="1:15" x14ac:dyDescent="0.25">
      <c r="A9" s="154">
        <v>6</v>
      </c>
      <c r="B9" s="150" t="s">
        <v>4</v>
      </c>
      <c r="C9" s="165">
        <v>380260</v>
      </c>
      <c r="D9" s="119">
        <v>341400</v>
      </c>
      <c r="E9" s="119">
        <v>392040</v>
      </c>
      <c r="F9" s="119">
        <v>369220</v>
      </c>
      <c r="G9" s="119">
        <v>406320</v>
      </c>
      <c r="H9" s="119">
        <v>395880</v>
      </c>
      <c r="I9" s="119">
        <v>388600</v>
      </c>
      <c r="J9" s="119">
        <v>345020</v>
      </c>
      <c r="K9" s="85">
        <v>364520</v>
      </c>
      <c r="L9" s="419">
        <v>404320</v>
      </c>
      <c r="M9" s="85"/>
      <c r="N9" s="166"/>
      <c r="O9" s="159">
        <f>SUM(Tabla12[[#This Row],[Gener]:[Desembre]])</f>
        <v>3787580</v>
      </c>
    </row>
    <row r="10" spans="1:15" x14ac:dyDescent="0.25">
      <c r="A10" s="154">
        <v>8</v>
      </c>
      <c r="B10" s="150" t="s">
        <v>7</v>
      </c>
      <c r="C10" s="165">
        <v>11955</v>
      </c>
      <c r="D10" s="119">
        <v>10486.62</v>
      </c>
      <c r="E10" s="119">
        <v>14321</v>
      </c>
      <c r="F10" s="119">
        <v>13850</v>
      </c>
      <c r="G10" s="119">
        <v>15329</v>
      </c>
      <c r="H10" s="119">
        <v>17336</v>
      </c>
      <c r="I10" s="119">
        <v>15792</v>
      </c>
      <c r="J10" s="119">
        <v>18752</v>
      </c>
      <c r="K10" s="85">
        <v>13536</v>
      </c>
      <c r="L10" s="419">
        <v>16184</v>
      </c>
      <c r="M10" s="85"/>
      <c r="N10" s="166"/>
      <c r="O10" s="159">
        <f>SUM(Tabla12[[#This Row],[Gener]:[Desembre]])</f>
        <v>147541.62</v>
      </c>
    </row>
    <row r="11" spans="1:15" x14ac:dyDescent="0.25">
      <c r="A11" s="154">
        <v>9</v>
      </c>
      <c r="B11" s="150" t="s">
        <v>40</v>
      </c>
      <c r="C11" s="165"/>
      <c r="D11" s="119"/>
      <c r="E11" s="119"/>
      <c r="F11" s="119"/>
      <c r="G11" s="119"/>
      <c r="H11" s="119"/>
      <c r="I11" s="119"/>
      <c r="J11" s="119"/>
      <c r="K11" s="85"/>
      <c r="L11" s="419">
        <v>0</v>
      </c>
      <c r="M11" s="85"/>
      <c r="N11" s="166"/>
      <c r="O11" s="159">
        <v>0</v>
      </c>
    </row>
    <row r="12" spans="1:15" x14ac:dyDescent="0.25">
      <c r="A12" s="154">
        <v>10</v>
      </c>
      <c r="B12" s="150" t="s">
        <v>41</v>
      </c>
      <c r="C12" s="165"/>
      <c r="D12" s="119"/>
      <c r="E12" s="119"/>
      <c r="F12" s="119"/>
      <c r="G12" s="119"/>
      <c r="H12" s="119"/>
      <c r="I12" s="119"/>
      <c r="J12" s="119"/>
      <c r="K12" s="85"/>
      <c r="L12" s="419">
        <v>0</v>
      </c>
      <c r="M12" s="85"/>
      <c r="N12" s="166"/>
      <c r="O12" s="159">
        <v>0</v>
      </c>
    </row>
    <row r="13" spans="1:15" x14ac:dyDescent="0.25">
      <c r="A13" s="154">
        <v>11</v>
      </c>
      <c r="B13" s="150" t="s">
        <v>9</v>
      </c>
      <c r="C13" s="165"/>
      <c r="D13" s="119"/>
      <c r="E13" s="119"/>
      <c r="F13" s="119"/>
      <c r="G13" s="119"/>
      <c r="H13" s="119"/>
      <c r="I13" s="119"/>
      <c r="J13" s="119"/>
      <c r="K13" s="85"/>
      <c r="L13" s="419">
        <v>0</v>
      </c>
      <c r="M13" s="85"/>
      <c r="N13" s="166"/>
      <c r="O13" s="159">
        <v>0</v>
      </c>
    </row>
    <row r="14" spans="1:15" x14ac:dyDescent="0.25">
      <c r="A14" s="154">
        <v>12</v>
      </c>
      <c r="B14" s="150" t="s">
        <v>10</v>
      </c>
      <c r="C14" s="165"/>
      <c r="D14" s="119"/>
      <c r="E14" s="119"/>
      <c r="F14" s="119"/>
      <c r="G14" s="119"/>
      <c r="H14" s="119"/>
      <c r="I14" s="119"/>
      <c r="J14" s="119"/>
      <c r="K14" s="85"/>
      <c r="L14" s="419">
        <v>0</v>
      </c>
      <c r="M14" s="85"/>
      <c r="N14" s="166"/>
      <c r="O14" s="159">
        <v>0</v>
      </c>
    </row>
    <row r="15" spans="1:15" x14ac:dyDescent="0.25">
      <c r="A15" s="154">
        <v>13</v>
      </c>
      <c r="B15" s="150" t="s">
        <v>42</v>
      </c>
      <c r="C15" s="165"/>
      <c r="D15" s="119"/>
      <c r="E15" s="119"/>
      <c r="F15" s="119"/>
      <c r="G15" s="119"/>
      <c r="H15" s="119"/>
      <c r="I15" s="119"/>
      <c r="J15" s="119"/>
      <c r="K15" s="85"/>
      <c r="L15" s="419">
        <v>0</v>
      </c>
      <c r="M15" s="85"/>
      <c r="N15" s="166"/>
      <c r="O15" s="159">
        <v>0</v>
      </c>
    </row>
    <row r="16" spans="1:15" x14ac:dyDescent="0.25">
      <c r="A16" s="154">
        <v>14</v>
      </c>
      <c r="B16" s="150" t="s">
        <v>11</v>
      </c>
      <c r="C16" s="165"/>
      <c r="D16" s="119"/>
      <c r="E16" s="119"/>
      <c r="F16" s="119"/>
      <c r="G16" s="119"/>
      <c r="H16" s="119"/>
      <c r="I16" s="119"/>
      <c r="J16" s="119"/>
      <c r="K16" s="85"/>
      <c r="L16" s="419">
        <v>0</v>
      </c>
      <c r="M16" s="85"/>
      <c r="N16" s="166"/>
      <c r="O16" s="159">
        <v>0</v>
      </c>
    </row>
    <row r="17" spans="1:15" x14ac:dyDescent="0.25">
      <c r="A17" s="154">
        <v>15</v>
      </c>
      <c r="B17" s="150" t="s">
        <v>12</v>
      </c>
      <c r="C17" s="165"/>
      <c r="D17" s="119"/>
      <c r="E17" s="119"/>
      <c r="F17" s="119"/>
      <c r="G17" s="119"/>
      <c r="H17" s="119"/>
      <c r="I17" s="119"/>
      <c r="J17" s="119"/>
      <c r="K17" s="85"/>
      <c r="L17" s="419">
        <v>0</v>
      </c>
      <c r="M17" s="85"/>
      <c r="N17" s="166"/>
      <c r="O17" s="159">
        <v>0</v>
      </c>
    </row>
    <row r="18" spans="1:15" x14ac:dyDescent="0.25">
      <c r="A18" s="154">
        <v>16</v>
      </c>
      <c r="B18" s="150" t="s">
        <v>13</v>
      </c>
      <c r="C18" s="165"/>
      <c r="D18" s="119"/>
      <c r="E18" s="119"/>
      <c r="F18" s="119"/>
      <c r="G18" s="119"/>
      <c r="H18" s="119"/>
      <c r="I18" s="119"/>
      <c r="J18" s="119"/>
      <c r="K18" s="85"/>
      <c r="L18" s="419">
        <v>0</v>
      </c>
      <c r="M18" s="85"/>
      <c r="N18" s="166"/>
      <c r="O18" s="159">
        <v>0</v>
      </c>
    </row>
    <row r="19" spans="1:15" x14ac:dyDescent="0.25">
      <c r="A19" s="154">
        <v>17</v>
      </c>
      <c r="B19" s="150" t="s">
        <v>14</v>
      </c>
      <c r="C19" s="165">
        <v>34140</v>
      </c>
      <c r="D19" s="119">
        <v>33920</v>
      </c>
      <c r="E19" s="119">
        <v>39720</v>
      </c>
      <c r="F19" s="119">
        <v>34280</v>
      </c>
      <c r="G19" s="119">
        <v>39740</v>
      </c>
      <c r="H19" s="119">
        <v>35540</v>
      </c>
      <c r="I19" s="119">
        <v>35760</v>
      </c>
      <c r="J19" s="119">
        <v>36740</v>
      </c>
      <c r="K19" s="85">
        <v>35660</v>
      </c>
      <c r="L19" s="419">
        <v>33600</v>
      </c>
      <c r="M19" s="85"/>
      <c r="N19" s="166"/>
      <c r="O19" s="159">
        <f>SUM(Tabla12[[#This Row],[Gener]:[Desembre]])</f>
        <v>359100</v>
      </c>
    </row>
    <row r="20" spans="1:15" x14ac:dyDescent="0.25">
      <c r="A20" s="154">
        <v>18</v>
      </c>
      <c r="B20" s="150" t="s">
        <v>15</v>
      </c>
      <c r="C20" s="165"/>
      <c r="D20" s="119"/>
      <c r="E20" s="119"/>
      <c r="F20" s="119"/>
      <c r="G20" s="119"/>
      <c r="H20" s="119"/>
      <c r="I20" s="119"/>
      <c r="J20" s="119"/>
      <c r="K20" s="85"/>
      <c r="L20" s="419">
        <v>0</v>
      </c>
      <c r="M20" s="85"/>
      <c r="N20" s="166"/>
      <c r="O20" s="159">
        <v>0</v>
      </c>
    </row>
    <row r="21" spans="1:15" x14ac:dyDescent="0.25">
      <c r="A21" s="154">
        <v>19</v>
      </c>
      <c r="B21" s="150" t="s">
        <v>16</v>
      </c>
      <c r="C21" s="165">
        <f>5120+170780+500</f>
        <v>176400</v>
      </c>
      <c r="D21" s="119">
        <f>6660+153940</f>
        <v>160600</v>
      </c>
      <c r="E21" s="119">
        <v>184160</v>
      </c>
      <c r="F21" s="119">
        <f>680+172560</f>
        <v>173240</v>
      </c>
      <c r="G21" s="119">
        <f>9800+173900</f>
        <v>183700</v>
      </c>
      <c r="H21" s="119">
        <f>186880</f>
        <v>186880</v>
      </c>
      <c r="I21" s="119">
        <v>180560</v>
      </c>
      <c r="J21" s="119">
        <v>154060</v>
      </c>
      <c r="K21" s="85">
        <v>170920</v>
      </c>
      <c r="L21" s="419">
        <v>173760</v>
      </c>
      <c r="M21" s="85"/>
      <c r="N21" s="166"/>
      <c r="O21" s="159">
        <f>SUM(Tabla12[[#This Row],[Gener]:[Desembre]])</f>
        <v>1744280</v>
      </c>
    </row>
    <row r="22" spans="1:15" x14ac:dyDescent="0.25">
      <c r="A22" s="154">
        <v>20</v>
      </c>
      <c r="B22" s="150" t="s">
        <v>17</v>
      </c>
      <c r="C22" s="165"/>
      <c r="D22" s="119"/>
      <c r="E22" s="119"/>
      <c r="F22" s="119"/>
      <c r="G22" s="119"/>
      <c r="H22" s="119"/>
      <c r="I22" s="119"/>
      <c r="J22" s="119"/>
      <c r="K22" s="85"/>
      <c r="L22" s="419">
        <v>0</v>
      </c>
      <c r="M22" s="85"/>
      <c r="N22" s="166"/>
      <c r="O22" s="159">
        <v>0</v>
      </c>
    </row>
    <row r="23" spans="1:15" x14ac:dyDescent="0.25">
      <c r="A23" s="154">
        <v>21</v>
      </c>
      <c r="B23" s="150" t="s">
        <v>18</v>
      </c>
      <c r="C23" s="165">
        <v>8016.86</v>
      </c>
      <c r="D23" s="119">
        <v>6109.39</v>
      </c>
      <c r="E23" s="119">
        <v>8415.9</v>
      </c>
      <c r="F23" s="119">
        <v>8376.39</v>
      </c>
      <c r="G23" s="119">
        <f>8835.1</f>
        <v>8835.1</v>
      </c>
      <c r="H23" s="119">
        <v>8302.41</v>
      </c>
      <c r="I23" s="119">
        <v>10195.32</v>
      </c>
      <c r="J23" s="119">
        <v>9288.1</v>
      </c>
      <c r="K23" s="85">
        <v>6731.58</v>
      </c>
      <c r="L23" s="419">
        <v>7906.67</v>
      </c>
      <c r="M23" s="85"/>
      <c r="N23" s="166"/>
      <c r="O23" s="159">
        <f>SUM(Tabla12[[#This Row],[Gener]:[Desembre]])</f>
        <v>82177.72</v>
      </c>
    </row>
    <row r="24" spans="1:15" x14ac:dyDescent="0.25">
      <c r="A24" s="154">
        <v>22</v>
      </c>
      <c r="B24" s="150" t="s">
        <v>19</v>
      </c>
      <c r="C24" s="165"/>
      <c r="D24" s="119"/>
      <c r="E24" s="119"/>
      <c r="F24" s="119"/>
      <c r="G24" s="119"/>
      <c r="H24" s="119"/>
      <c r="I24" s="119"/>
      <c r="J24" s="119"/>
      <c r="K24" s="85"/>
      <c r="L24" s="419">
        <v>0</v>
      </c>
      <c r="M24" s="85"/>
      <c r="N24" s="166"/>
      <c r="O24" s="159">
        <f>SUM(Tabla12[[#This Row],[Gener]:[Desembre]])</f>
        <v>0</v>
      </c>
    </row>
    <row r="25" spans="1:15" x14ac:dyDescent="0.25">
      <c r="A25" s="154">
        <v>23</v>
      </c>
      <c r="B25" s="150" t="s">
        <v>43</v>
      </c>
      <c r="C25" s="165"/>
      <c r="D25" s="119"/>
      <c r="E25" s="119"/>
      <c r="F25" s="119"/>
      <c r="G25" s="119"/>
      <c r="H25" s="119"/>
      <c r="I25" s="119"/>
      <c r="J25" s="119"/>
      <c r="K25" s="85"/>
      <c r="L25" s="419">
        <v>0</v>
      </c>
      <c r="M25" s="85"/>
      <c r="N25" s="166"/>
      <c r="O25" s="159">
        <v>0</v>
      </c>
    </row>
    <row r="26" spans="1:15" x14ac:dyDescent="0.25">
      <c r="A26" s="154">
        <v>24</v>
      </c>
      <c r="B26" s="150" t="s">
        <v>44</v>
      </c>
      <c r="C26" s="165">
        <v>52680</v>
      </c>
      <c r="D26" s="119">
        <v>47860</v>
      </c>
      <c r="E26" s="119">
        <v>59580</v>
      </c>
      <c r="F26" s="119">
        <f>47940+1320</f>
        <v>49260</v>
      </c>
      <c r="G26" s="119">
        <f>36420+20780</f>
        <v>57200</v>
      </c>
      <c r="H26" s="119">
        <v>54680</v>
      </c>
      <c r="I26" s="119">
        <v>56080</v>
      </c>
      <c r="J26" s="119">
        <v>55020</v>
      </c>
      <c r="K26" s="85">
        <v>52560</v>
      </c>
      <c r="L26" s="419">
        <v>54780</v>
      </c>
      <c r="M26" s="85"/>
      <c r="N26" s="166"/>
      <c r="O26" s="159">
        <f>SUM(Tabla12[[#This Row],[Gener]:[Desembre]])</f>
        <v>539700</v>
      </c>
    </row>
    <row r="27" spans="1:15" x14ac:dyDescent="0.25">
      <c r="A27" s="154">
        <v>25</v>
      </c>
      <c r="B27" s="150" t="s">
        <v>20</v>
      </c>
      <c r="C27" s="165"/>
      <c r="D27" s="119"/>
      <c r="E27" s="119"/>
      <c r="F27" s="119"/>
      <c r="G27" s="119"/>
      <c r="H27" s="119"/>
      <c r="I27" s="119"/>
      <c r="J27" s="119"/>
      <c r="K27" s="85"/>
      <c r="L27" s="419">
        <v>0</v>
      </c>
      <c r="M27" s="85"/>
      <c r="N27" s="166"/>
      <c r="O27" s="159">
        <v>0</v>
      </c>
    </row>
    <row r="28" spans="1:15" x14ac:dyDescent="0.25">
      <c r="A28" s="154">
        <v>26</v>
      </c>
      <c r="B28" s="150" t="s">
        <v>45</v>
      </c>
      <c r="C28" s="165">
        <v>9920</v>
      </c>
      <c r="D28" s="119">
        <v>8200</v>
      </c>
      <c r="E28" s="119">
        <v>8580</v>
      </c>
      <c r="F28" s="119">
        <v>8680</v>
      </c>
      <c r="G28" s="119">
        <v>12360</v>
      </c>
      <c r="H28" s="119">
        <v>9180</v>
      </c>
      <c r="I28" s="119">
        <v>10740</v>
      </c>
      <c r="J28" s="119">
        <v>8400</v>
      </c>
      <c r="K28" s="85">
        <v>7960</v>
      </c>
      <c r="L28" s="419">
        <v>12780</v>
      </c>
      <c r="M28" s="85"/>
      <c r="N28" s="166"/>
      <c r="O28" s="159">
        <f>SUM(Tabla12[[#This Row],[Gener]:[Desembre]])</f>
        <v>96800</v>
      </c>
    </row>
    <row r="29" spans="1:15" x14ac:dyDescent="0.25">
      <c r="A29" s="154">
        <v>27</v>
      </c>
      <c r="B29" s="150" t="s">
        <v>46</v>
      </c>
      <c r="C29" s="165"/>
      <c r="D29" s="119"/>
      <c r="E29" s="119"/>
      <c r="F29" s="119"/>
      <c r="G29" s="119"/>
      <c r="H29" s="119"/>
      <c r="I29" s="119"/>
      <c r="J29" s="119"/>
      <c r="K29" s="85"/>
      <c r="L29" s="419">
        <v>0</v>
      </c>
      <c r="M29" s="85"/>
      <c r="N29" s="166"/>
      <c r="O29" s="159">
        <f>SUM(Tabla12[[#This Row],[Gener]:[Desembre]])</f>
        <v>0</v>
      </c>
    </row>
    <row r="30" spans="1:15" x14ac:dyDescent="0.25">
      <c r="A30" s="154">
        <v>28</v>
      </c>
      <c r="B30" s="150" t="s">
        <v>47</v>
      </c>
      <c r="C30" s="165"/>
      <c r="D30" s="119"/>
      <c r="E30" s="119">
        <v>18500</v>
      </c>
      <c r="F30" s="119">
        <v>27200</v>
      </c>
      <c r="G30" s="119">
        <v>47520</v>
      </c>
      <c r="H30" s="119">
        <v>41800</v>
      </c>
      <c r="I30" s="119">
        <v>34180</v>
      </c>
      <c r="J30" s="119">
        <v>40840</v>
      </c>
      <c r="K30" s="85">
        <v>28840</v>
      </c>
      <c r="L30" s="419">
        <v>281580</v>
      </c>
      <c r="M30" s="85"/>
      <c r="N30" s="166"/>
      <c r="O30" s="159">
        <v>0</v>
      </c>
    </row>
    <row r="31" spans="1:15" x14ac:dyDescent="0.25">
      <c r="A31" s="154">
        <v>29</v>
      </c>
      <c r="B31" s="150" t="s">
        <v>48</v>
      </c>
      <c r="C31" s="165">
        <v>709.14</v>
      </c>
      <c r="D31" s="119">
        <v>571.77</v>
      </c>
      <c r="E31" s="119">
        <v>782.1</v>
      </c>
      <c r="F31" s="119">
        <v>621.61</v>
      </c>
      <c r="G31" s="119">
        <v>1128.9000000000001</v>
      </c>
      <c r="H31" s="119">
        <v>2859.59</v>
      </c>
      <c r="I31" s="119">
        <v>68.680000000000007</v>
      </c>
      <c r="J31" s="119">
        <v>2898.9</v>
      </c>
      <c r="K31" s="85">
        <v>2067.42</v>
      </c>
      <c r="L31" s="419">
        <v>2615.33</v>
      </c>
      <c r="M31" s="85"/>
      <c r="N31" s="166"/>
      <c r="O31" s="159">
        <f>SUM(Tabla12[[#This Row],[Gener]:[Desembre]])</f>
        <v>14323.44</v>
      </c>
    </row>
    <row r="32" spans="1:15" x14ac:dyDescent="0.25">
      <c r="A32" s="154">
        <v>30</v>
      </c>
      <c r="B32" s="150" t="s">
        <v>50</v>
      </c>
      <c r="C32" s="165">
        <v>29080</v>
      </c>
      <c r="D32" s="119">
        <v>27680</v>
      </c>
      <c r="E32" s="119">
        <v>28920</v>
      </c>
      <c r="F32" s="119">
        <v>34320</v>
      </c>
      <c r="G32" s="119">
        <v>29120</v>
      </c>
      <c r="H32" s="119">
        <v>26520</v>
      </c>
      <c r="I32" s="119">
        <v>37280</v>
      </c>
      <c r="J32" s="119">
        <v>26600</v>
      </c>
      <c r="K32" s="85">
        <v>34160</v>
      </c>
      <c r="L32" s="419">
        <v>27580</v>
      </c>
      <c r="M32" s="85"/>
      <c r="N32" s="166"/>
      <c r="O32" s="159">
        <f>SUM(Tabla12[[#This Row],[Gener]:[Desembre]])</f>
        <v>301260</v>
      </c>
    </row>
    <row r="33" spans="1:17" x14ac:dyDescent="0.25">
      <c r="A33" s="154">
        <v>31</v>
      </c>
      <c r="B33" s="150" t="s">
        <v>51</v>
      </c>
      <c r="C33" s="165">
        <v>4580</v>
      </c>
      <c r="D33" s="119">
        <v>4680</v>
      </c>
      <c r="E33" s="119">
        <v>5300</v>
      </c>
      <c r="F33" s="119">
        <v>4660</v>
      </c>
      <c r="G33" s="119">
        <v>5760</v>
      </c>
      <c r="H33" s="119">
        <v>4680</v>
      </c>
      <c r="I33" s="119">
        <v>5900</v>
      </c>
      <c r="J33" s="119">
        <v>4760</v>
      </c>
      <c r="K33" s="85">
        <v>4520</v>
      </c>
      <c r="L33" s="419">
        <v>5600</v>
      </c>
      <c r="M33" s="85"/>
      <c r="N33" s="166"/>
      <c r="O33" s="159">
        <f>SUM(Tabla12[[#This Row],[Gener]:[Desembre]])</f>
        <v>50440</v>
      </c>
    </row>
    <row r="34" spans="1:17" x14ac:dyDescent="0.25">
      <c r="A34" s="154">
        <v>32</v>
      </c>
      <c r="B34" s="150" t="s">
        <v>52</v>
      </c>
      <c r="C34" s="165"/>
      <c r="D34" s="119"/>
      <c r="E34" s="119"/>
      <c r="F34" s="119"/>
      <c r="G34" s="119"/>
      <c r="H34" s="119"/>
      <c r="I34" s="119"/>
      <c r="J34" s="119"/>
      <c r="K34" s="85"/>
      <c r="L34" s="419">
        <v>0</v>
      </c>
      <c r="M34" s="85"/>
      <c r="N34" s="166"/>
      <c r="O34" s="159">
        <v>0</v>
      </c>
    </row>
    <row r="35" spans="1:17" x14ac:dyDescent="0.25">
      <c r="A35" s="154">
        <v>33</v>
      </c>
      <c r="B35" s="150" t="s">
        <v>21</v>
      </c>
      <c r="C35" s="165"/>
      <c r="D35" s="119"/>
      <c r="E35" s="119"/>
      <c r="F35" s="119"/>
      <c r="G35" s="119"/>
      <c r="H35" s="119"/>
      <c r="I35" s="119"/>
      <c r="J35" s="119"/>
      <c r="K35" s="85"/>
      <c r="L35" s="419">
        <v>0</v>
      </c>
      <c r="M35" s="85"/>
      <c r="N35" s="166"/>
      <c r="O35" s="252">
        <f>SUM(Tabla12[[#This Row],[Gener]:[Desembre]])</f>
        <v>0</v>
      </c>
    </row>
    <row r="36" spans="1:17" x14ac:dyDescent="0.25">
      <c r="A36" s="154">
        <v>34</v>
      </c>
      <c r="B36" s="150" t="s">
        <v>22</v>
      </c>
      <c r="C36" s="165">
        <v>76613.48</v>
      </c>
      <c r="D36" s="119">
        <v>74200</v>
      </c>
      <c r="E36" s="119">
        <v>96500</v>
      </c>
      <c r="F36" s="119">
        <f>85057.45+4900</f>
        <v>89957.45</v>
      </c>
      <c r="G36" s="119">
        <v>100796.92</v>
      </c>
      <c r="H36" s="119">
        <v>93885.15</v>
      </c>
      <c r="I36" s="119">
        <v>92200</v>
      </c>
      <c r="J36" s="119">
        <v>96176.84</v>
      </c>
      <c r="K36" s="85">
        <v>87200</v>
      </c>
      <c r="L36" s="419">
        <v>83600</v>
      </c>
      <c r="M36" s="85"/>
      <c r="N36" s="166"/>
      <c r="O36" s="159">
        <f>SUM(Tabla12[[#This Row],[Gener]:[Desembre]])</f>
        <v>891129.84</v>
      </c>
    </row>
    <row r="37" spans="1:17" x14ac:dyDescent="0.25">
      <c r="A37" s="154">
        <v>35</v>
      </c>
      <c r="B37" s="150" t="s">
        <v>23</v>
      </c>
      <c r="C37" s="165"/>
      <c r="D37" s="119"/>
      <c r="E37" s="119"/>
      <c r="F37" s="119"/>
      <c r="G37" s="119"/>
      <c r="H37" s="119"/>
      <c r="I37" s="119"/>
      <c r="J37" s="119"/>
      <c r="K37" s="85"/>
      <c r="L37" s="419">
        <v>0</v>
      </c>
      <c r="M37" s="85"/>
      <c r="N37" s="166"/>
      <c r="O37" s="159">
        <v>0</v>
      </c>
    </row>
    <row r="38" spans="1:17" x14ac:dyDescent="0.25">
      <c r="A38" s="154">
        <v>36</v>
      </c>
      <c r="B38" s="150" t="s">
        <v>24</v>
      </c>
      <c r="C38" s="165">
        <v>22466.52</v>
      </c>
      <c r="D38" s="119">
        <v>20560</v>
      </c>
      <c r="E38" s="119">
        <v>24160</v>
      </c>
      <c r="F38" s="119">
        <f>20462.55+1340</f>
        <v>21802.55</v>
      </c>
      <c r="G38" s="119">
        <v>24283.08</v>
      </c>
      <c r="H38" s="119">
        <v>26414.85</v>
      </c>
      <c r="I38" s="119">
        <v>24160</v>
      </c>
      <c r="J38" s="119">
        <v>25443.16</v>
      </c>
      <c r="K38" s="85">
        <v>20720</v>
      </c>
      <c r="L38" s="419">
        <v>20560</v>
      </c>
      <c r="M38" s="85"/>
      <c r="N38" s="166"/>
      <c r="O38" s="159">
        <f>SUM(Tabla12[[#This Row],[Gener]:[Desembre]])</f>
        <v>230570.16</v>
      </c>
    </row>
    <row r="39" spans="1:17" x14ac:dyDescent="0.25">
      <c r="A39" s="154">
        <v>37</v>
      </c>
      <c r="B39" s="150" t="s">
        <v>25</v>
      </c>
      <c r="C39" s="165"/>
      <c r="D39" s="119"/>
      <c r="E39" s="119"/>
      <c r="F39" s="119"/>
      <c r="G39" s="119"/>
      <c r="H39" s="119"/>
      <c r="I39" s="119"/>
      <c r="J39" s="119"/>
      <c r="K39" s="85"/>
      <c r="L39" s="419">
        <v>0</v>
      </c>
      <c r="M39" s="85"/>
      <c r="N39" s="166"/>
      <c r="O39" s="159">
        <v>0</v>
      </c>
    </row>
    <row r="40" spans="1:17" x14ac:dyDescent="0.25">
      <c r="A40" s="154">
        <v>38</v>
      </c>
      <c r="B40" s="150" t="s">
        <v>5</v>
      </c>
      <c r="C40" s="165"/>
      <c r="D40" s="119"/>
      <c r="E40" s="119"/>
      <c r="F40" s="119"/>
      <c r="G40" s="119"/>
      <c r="H40" s="119"/>
      <c r="I40" s="119"/>
      <c r="J40" s="119"/>
      <c r="K40" s="85"/>
      <c r="L40" s="419">
        <v>0</v>
      </c>
      <c r="M40" s="85"/>
      <c r="N40" s="166"/>
      <c r="O40" s="159">
        <v>0</v>
      </c>
    </row>
    <row r="41" spans="1:17" x14ac:dyDescent="0.25">
      <c r="A41" s="154">
        <v>39</v>
      </c>
      <c r="B41" s="150" t="s">
        <v>6</v>
      </c>
      <c r="C41" s="165">
        <v>34780</v>
      </c>
      <c r="D41" s="119">
        <v>33960</v>
      </c>
      <c r="E41" s="119">
        <v>40080</v>
      </c>
      <c r="F41" s="119">
        <f>2920+43280</f>
        <v>46200</v>
      </c>
      <c r="G41" s="119">
        <v>44900</v>
      </c>
      <c r="H41" s="119">
        <v>39940</v>
      </c>
      <c r="I41" s="119">
        <v>45640</v>
      </c>
      <c r="J41" s="119">
        <v>53200</v>
      </c>
      <c r="K41" s="85">
        <v>41180</v>
      </c>
      <c r="L41" s="419">
        <v>39940</v>
      </c>
      <c r="M41" s="85"/>
      <c r="N41" s="166"/>
      <c r="O41" s="159">
        <f>SUM(Tabla12[[#This Row],[Gener]:[Desembre]])</f>
        <v>419820</v>
      </c>
    </row>
    <row r="42" spans="1:17" x14ac:dyDescent="0.25">
      <c r="A42" s="154">
        <v>40</v>
      </c>
      <c r="B42" s="150" t="s">
        <v>8</v>
      </c>
      <c r="C42" s="165"/>
      <c r="D42" s="119"/>
      <c r="E42" s="119"/>
      <c r="F42" s="119"/>
      <c r="G42" s="119"/>
      <c r="H42" s="119"/>
      <c r="I42" s="119"/>
      <c r="J42" s="119"/>
      <c r="K42" s="85"/>
      <c r="L42" s="419">
        <v>0</v>
      </c>
      <c r="M42" s="85"/>
      <c r="N42" s="166"/>
      <c r="O42" s="159">
        <v>0</v>
      </c>
    </row>
    <row r="43" spans="1:17" ht="15.75" thickBot="1" x14ac:dyDescent="0.3">
      <c r="A43" s="155">
        <v>41</v>
      </c>
      <c r="B43" s="151" t="s">
        <v>49</v>
      </c>
      <c r="C43" s="167"/>
      <c r="D43" s="168"/>
      <c r="E43" s="168"/>
      <c r="F43" s="168"/>
      <c r="G43" s="168"/>
      <c r="H43" s="168"/>
      <c r="I43" s="168"/>
      <c r="J43" s="168"/>
      <c r="K43" s="169"/>
      <c r="L43" s="420">
        <v>0</v>
      </c>
      <c r="M43" s="169"/>
      <c r="N43" s="170"/>
      <c r="O43" s="160">
        <f>SUM(Tabla12[[#This Row],[Gener]:[Desembre]])</f>
        <v>0</v>
      </c>
    </row>
    <row r="44" spans="1:17" s="4" customFormat="1" ht="15.75" thickBot="1" x14ac:dyDescent="0.3">
      <c r="B44" s="81" t="s">
        <v>135</v>
      </c>
      <c r="C44" s="82">
        <f>SUBTOTAL(109,Tabla12[Gener])</f>
        <v>1082420</v>
      </c>
      <c r="D44" s="83">
        <f>SUBTOTAL(109,Tabla12[Febrer])</f>
        <v>984360.01</v>
      </c>
      <c r="E44" s="83">
        <f>SUBTOTAL(109,Tabla12[Març])</f>
        <v>1175640</v>
      </c>
      <c r="F44" s="83">
        <f>SUBTOTAL(109,Tabla12[Abril])</f>
        <v>1120218</v>
      </c>
      <c r="G44" s="83">
        <f>SUBTOTAL(109,Tabla12[Maig])</f>
        <v>1237280</v>
      </c>
      <c r="H44" s="83">
        <f>SUBTOTAL(109,Tabla12[Juny])</f>
        <v>1206140</v>
      </c>
      <c r="I44" s="83">
        <f>SUBTOTAL(109,Tabla12[Juliol])</f>
        <v>1204900</v>
      </c>
      <c r="J44" s="83">
        <f>SUBTOTAL(109,Tabla12[Agost])</f>
        <v>1124120</v>
      </c>
      <c r="K44" s="83">
        <f>SUBTOTAL(109,Tabla12[Setembre])</f>
        <v>1116260</v>
      </c>
      <c r="L44" s="83">
        <f>SUBTOTAL(109,Tabla12[Octubre])</f>
        <v>1399540</v>
      </c>
      <c r="M44" s="83">
        <f>SUBTOTAL(109,Tabla12[Novembre])</f>
        <v>0</v>
      </c>
      <c r="N44" s="83">
        <f>SUBTOTAL(109,Tabla12[Desembre])</f>
        <v>0</v>
      </c>
      <c r="O44" s="84">
        <f>SUM(C44:N44)</f>
        <v>11650878.01</v>
      </c>
      <c r="P44" s="3"/>
      <c r="Q44" s="253"/>
    </row>
    <row r="45" spans="1:17" ht="15.75" thickBot="1" x14ac:dyDescent="0.3">
      <c r="B45" s="76" t="s">
        <v>124</v>
      </c>
      <c r="C45" s="77">
        <v>1107820</v>
      </c>
      <c r="D45" s="78">
        <v>987120</v>
      </c>
      <c r="E45" s="78">
        <v>1097660</v>
      </c>
      <c r="F45" s="78">
        <v>1195580</v>
      </c>
      <c r="G45" s="78">
        <v>1236660</v>
      </c>
      <c r="H45" s="78">
        <v>1260060.1000000001</v>
      </c>
      <c r="I45" s="78">
        <v>1224420</v>
      </c>
      <c r="J45" s="78">
        <v>1162340</v>
      </c>
      <c r="K45" s="78">
        <v>1103480</v>
      </c>
      <c r="L45" s="78">
        <v>1114620</v>
      </c>
      <c r="M45" s="78">
        <v>1091280</v>
      </c>
      <c r="N45" s="79">
        <v>1113780</v>
      </c>
      <c r="O45" s="80">
        <f>SUM(C45:N45)</f>
        <v>13694820.1</v>
      </c>
    </row>
    <row r="46" spans="1:17" ht="15.75" thickBot="1" x14ac:dyDescent="0.3">
      <c r="B46" s="92" t="s">
        <v>58</v>
      </c>
      <c r="C46" s="93">
        <f t="shared" ref="C46:N46" si="0">(C44/C45)-1</f>
        <v>-2.2927912476756185E-2</v>
      </c>
      <c r="D46" s="93">
        <f t="shared" si="0"/>
        <v>-2.7960025123592303E-3</v>
      </c>
      <c r="E46" s="93">
        <f t="shared" si="0"/>
        <v>7.1042034874186921E-2</v>
      </c>
      <c r="F46" s="93">
        <f t="shared" si="0"/>
        <v>-6.3033841315512151E-2</v>
      </c>
      <c r="G46" s="93">
        <f t="shared" si="0"/>
        <v>5.0135041159249383E-4</v>
      </c>
      <c r="H46" s="93">
        <f t="shared" si="0"/>
        <v>-4.2791689063085281E-2</v>
      </c>
      <c r="I46" s="93">
        <f t="shared" si="0"/>
        <v>-1.5942242041129706E-2</v>
      </c>
      <c r="J46" s="93">
        <f t="shared" si="0"/>
        <v>-3.2881945041898231E-2</v>
      </c>
      <c r="K46" s="93">
        <f t="shared" si="0"/>
        <v>1.1581542030666636E-2</v>
      </c>
      <c r="L46" s="93">
        <f t="shared" si="0"/>
        <v>0.25562074967253423</v>
      </c>
      <c r="M46" s="93">
        <f t="shared" si="0"/>
        <v>-1</v>
      </c>
      <c r="N46" s="93">
        <f t="shared" si="0"/>
        <v>-1</v>
      </c>
      <c r="O46" s="242">
        <f>(O44/O45)-1</f>
        <v>-0.14924928367624191</v>
      </c>
    </row>
    <row r="47" spans="1:17" x14ac:dyDescent="0.2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55" spans="16:16" x14ac:dyDescent="0.25">
      <c r="P55" s="26"/>
    </row>
  </sheetData>
  <sheetProtection sheet="1" objects="1" scenarios="1"/>
  <pageMargins left="0.19685039370078741" right="0.23622047244094491" top="0.52" bottom="0.2" header="0.19685039370078741" footer="0.16"/>
  <pageSetup paperSize="9" scale="77" orientation="landscape" copies="5" r:id="rId1"/>
  <headerFooter>
    <oddHeader>&amp;L&amp;"Calibri,Normal"&amp;G&amp;C&amp;F&amp;R&amp;"Calibri,Normal"&amp;G</oddHeader>
    <oddFooter>&amp;L&amp;"Calibri,Normal"&amp;D&amp;C&amp;A&amp;R&amp;"Calibri,Normal"&amp;P de &amp;N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Zeros="0" topLeftCell="B1" zoomScaleNormal="100" workbookViewId="0">
      <pane xSplit="1" ySplit="3" topLeftCell="C4" activePane="bottomRight" state="frozen"/>
      <selection activeCell="B45" sqref="B45"/>
      <selection pane="topRight" activeCell="B45" sqref="B45"/>
      <selection pane="bottomLeft" activeCell="B45" sqref="B45"/>
      <selection pane="bottomRight" activeCell="J38" sqref="J38"/>
    </sheetView>
  </sheetViews>
  <sheetFormatPr baseColWidth="10" defaultColWidth="11.42578125" defaultRowHeight="15" x14ac:dyDescent="0.25"/>
  <cols>
    <col min="1" max="1" width="5.42578125" style="3" bestFit="1" customWidth="1"/>
    <col min="2" max="2" width="26.140625" style="20" bestFit="1" customWidth="1"/>
    <col min="3" max="5" width="11.42578125" style="2"/>
    <col min="6" max="6" width="11.7109375" style="2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103"/>
    <col min="16" max="16384" width="11.42578125" style="3"/>
  </cols>
  <sheetData>
    <row r="1" spans="1:15" ht="15.75" x14ac:dyDescent="0.25">
      <c r="B1" s="1" t="s">
        <v>140</v>
      </c>
    </row>
    <row r="2" spans="1:15" ht="15.75" thickBot="1" x14ac:dyDescent="0.3">
      <c r="C2" s="4" t="s">
        <v>56</v>
      </c>
    </row>
    <row r="3" spans="1:15" ht="15.75" thickBot="1" x14ac:dyDescent="0.3">
      <c r="A3" s="8" t="s">
        <v>59</v>
      </c>
      <c r="B3" s="23" t="s">
        <v>57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8" t="s">
        <v>38</v>
      </c>
    </row>
    <row r="4" spans="1:15" x14ac:dyDescent="0.25">
      <c r="A4" s="146">
        <v>1</v>
      </c>
      <c r="B4" s="27" t="s">
        <v>39</v>
      </c>
      <c r="C4" s="120">
        <v>28960</v>
      </c>
      <c r="D4" s="121">
        <v>28920</v>
      </c>
      <c r="E4" s="121">
        <v>34100</v>
      </c>
      <c r="F4" s="121">
        <v>35860</v>
      </c>
      <c r="G4" s="121">
        <v>40140</v>
      </c>
      <c r="H4" s="121">
        <v>37360</v>
      </c>
      <c r="I4" s="121">
        <v>36340</v>
      </c>
      <c r="J4" s="121">
        <v>31400</v>
      </c>
      <c r="K4" s="121">
        <v>29180</v>
      </c>
      <c r="L4" s="121">
        <v>33660</v>
      </c>
      <c r="M4" s="121"/>
      <c r="N4" s="122"/>
      <c r="O4" s="143">
        <f>SUM(Tabla8[[#This Row],[Gener]:[Desembre]])</f>
        <v>335920</v>
      </c>
    </row>
    <row r="5" spans="1:15" x14ac:dyDescent="0.25">
      <c r="A5" s="147">
        <v>2</v>
      </c>
      <c r="B5" s="24" t="s">
        <v>0</v>
      </c>
      <c r="C5" s="123"/>
      <c r="D5" s="124"/>
      <c r="E5" s="124"/>
      <c r="F5" s="124"/>
      <c r="G5" s="124"/>
      <c r="H5" s="124"/>
      <c r="I5" s="124"/>
      <c r="J5" s="124"/>
      <c r="K5" s="124">
        <v>0</v>
      </c>
      <c r="L5" s="124">
        <v>0</v>
      </c>
      <c r="M5" s="124"/>
      <c r="N5" s="125"/>
      <c r="O5" s="144">
        <v>0</v>
      </c>
    </row>
    <row r="6" spans="1:15" x14ac:dyDescent="0.25">
      <c r="A6" s="147">
        <v>3</v>
      </c>
      <c r="B6" s="24" t="s">
        <v>1</v>
      </c>
      <c r="C6" s="123"/>
      <c r="D6" s="124"/>
      <c r="E6" s="124"/>
      <c r="F6" s="124"/>
      <c r="G6" s="124"/>
      <c r="H6" s="124"/>
      <c r="I6" s="124"/>
      <c r="J6" s="124"/>
      <c r="K6" s="124">
        <v>0</v>
      </c>
      <c r="L6" s="124">
        <v>0</v>
      </c>
      <c r="M6" s="124"/>
      <c r="N6" s="125"/>
      <c r="O6" s="144">
        <v>0</v>
      </c>
    </row>
    <row r="7" spans="1:15" x14ac:dyDescent="0.25">
      <c r="A7" s="147">
        <v>4</v>
      </c>
      <c r="B7" s="24" t="s">
        <v>2</v>
      </c>
      <c r="C7" s="123">
        <v>4509.25</v>
      </c>
      <c r="D7" s="124">
        <v>4071.81</v>
      </c>
      <c r="E7" s="124">
        <v>7229.86</v>
      </c>
      <c r="F7" s="124">
        <v>6886.81</v>
      </c>
      <c r="G7" s="124">
        <v>6816.16</v>
      </c>
      <c r="H7" s="124">
        <v>6573.86</v>
      </c>
      <c r="I7" s="124">
        <v>5159.78</v>
      </c>
      <c r="J7" s="124">
        <v>6446.63</v>
      </c>
      <c r="K7" s="124">
        <v>4743.58</v>
      </c>
      <c r="L7" s="124">
        <v>5578.16</v>
      </c>
      <c r="M7" s="124"/>
      <c r="N7" s="125"/>
      <c r="O7" s="144">
        <f>SUM(Tabla8[[#This Row],[Gener]:[Desembre]])</f>
        <v>58015.899999999994</v>
      </c>
    </row>
    <row r="8" spans="1:15" x14ac:dyDescent="0.25">
      <c r="A8" s="147">
        <v>5</v>
      </c>
      <c r="B8" s="24" t="s">
        <v>3</v>
      </c>
      <c r="C8" s="123"/>
      <c r="D8" s="124"/>
      <c r="E8" s="124"/>
      <c r="F8" s="124"/>
      <c r="G8" s="124"/>
      <c r="H8" s="124"/>
      <c r="I8" s="124"/>
      <c r="J8" s="124"/>
      <c r="K8" s="124">
        <v>0</v>
      </c>
      <c r="L8" s="124">
        <v>0</v>
      </c>
      <c r="M8" s="124"/>
      <c r="N8" s="125"/>
      <c r="O8" s="144">
        <v>0</v>
      </c>
    </row>
    <row r="9" spans="1:15" x14ac:dyDescent="0.25">
      <c r="A9" s="147">
        <v>6</v>
      </c>
      <c r="B9" s="24" t="s">
        <v>4</v>
      </c>
      <c r="C9" s="123">
        <v>73740</v>
      </c>
      <c r="D9" s="124">
        <v>74460</v>
      </c>
      <c r="E9" s="124">
        <v>87300</v>
      </c>
      <c r="F9" s="124">
        <v>87480</v>
      </c>
      <c r="G9" s="124">
        <v>94020</v>
      </c>
      <c r="H9" s="124">
        <v>91600</v>
      </c>
      <c r="I9" s="124">
        <v>86540</v>
      </c>
      <c r="J9" s="124">
        <v>74800</v>
      </c>
      <c r="K9" s="124">
        <v>76980</v>
      </c>
      <c r="L9" s="124">
        <v>77440</v>
      </c>
      <c r="M9" s="124"/>
      <c r="N9" s="125"/>
      <c r="O9" s="144">
        <f>SUM(Tabla8[[#This Row],[Gener]:[Desembre]])</f>
        <v>824360</v>
      </c>
    </row>
    <row r="10" spans="1:15" x14ac:dyDescent="0.25">
      <c r="A10" s="147">
        <v>8</v>
      </c>
      <c r="B10" s="24" t="s">
        <v>7</v>
      </c>
      <c r="C10" s="123">
        <v>2924.9</v>
      </c>
      <c r="D10" s="124">
        <v>3171.02</v>
      </c>
      <c r="E10" s="124">
        <v>5684.26</v>
      </c>
      <c r="F10" s="124">
        <v>5832.41</v>
      </c>
      <c r="G10" s="124">
        <v>7150.79</v>
      </c>
      <c r="H10" s="124">
        <v>8632.31</v>
      </c>
      <c r="I10" s="124">
        <v>7743.24</v>
      </c>
      <c r="J10" s="124">
        <v>9763.75</v>
      </c>
      <c r="K10" s="124">
        <v>5737.71</v>
      </c>
      <c r="L10" s="124">
        <v>9024.94</v>
      </c>
      <c r="M10" s="124"/>
      <c r="N10" s="125"/>
      <c r="O10" s="144">
        <f>SUM(Tabla8[[#This Row],[Gener]:[Desembre]])</f>
        <v>65665.33</v>
      </c>
    </row>
    <row r="11" spans="1:15" x14ac:dyDescent="0.25">
      <c r="A11" s="147">
        <v>9</v>
      </c>
      <c r="B11" s="117" t="s">
        <v>40</v>
      </c>
      <c r="C11" s="123"/>
      <c r="D11" s="124"/>
      <c r="E11" s="124"/>
      <c r="F11" s="124"/>
      <c r="G11" s="124"/>
      <c r="H11" s="124"/>
      <c r="I11" s="124"/>
      <c r="J11" s="124"/>
      <c r="K11" s="124">
        <v>0</v>
      </c>
      <c r="L11" s="124">
        <v>0</v>
      </c>
      <c r="M11" s="124"/>
      <c r="N11" s="125"/>
      <c r="O11" s="145">
        <v>0</v>
      </c>
    </row>
    <row r="12" spans="1:15" x14ac:dyDescent="0.25">
      <c r="A12" s="147">
        <v>10</v>
      </c>
      <c r="B12" s="24" t="s">
        <v>41</v>
      </c>
      <c r="C12" s="123"/>
      <c r="D12" s="124"/>
      <c r="E12" s="124"/>
      <c r="F12" s="124"/>
      <c r="G12" s="124"/>
      <c r="H12" s="124"/>
      <c r="I12" s="124"/>
      <c r="J12" s="124"/>
      <c r="K12" s="124">
        <v>0</v>
      </c>
      <c r="L12" s="124">
        <v>0</v>
      </c>
      <c r="M12" s="124"/>
      <c r="N12" s="125"/>
      <c r="O12" s="144">
        <v>0</v>
      </c>
    </row>
    <row r="13" spans="1:15" x14ac:dyDescent="0.25">
      <c r="A13" s="147">
        <v>11</v>
      </c>
      <c r="B13" s="24" t="s">
        <v>9</v>
      </c>
      <c r="C13" s="123"/>
      <c r="D13" s="124"/>
      <c r="E13" s="124"/>
      <c r="F13" s="124"/>
      <c r="G13" s="124"/>
      <c r="H13" s="124"/>
      <c r="I13" s="124"/>
      <c r="J13" s="124"/>
      <c r="K13" s="124">
        <v>0</v>
      </c>
      <c r="L13" s="124">
        <v>0</v>
      </c>
      <c r="M13" s="124"/>
      <c r="N13" s="125"/>
      <c r="O13" s="144">
        <v>0</v>
      </c>
    </row>
    <row r="14" spans="1:15" x14ac:dyDescent="0.25">
      <c r="A14" s="147">
        <v>12</v>
      </c>
      <c r="B14" s="24" t="s">
        <v>10</v>
      </c>
      <c r="C14" s="123"/>
      <c r="D14" s="124"/>
      <c r="E14" s="124"/>
      <c r="F14" s="124"/>
      <c r="G14" s="124"/>
      <c r="H14" s="124"/>
      <c r="I14" s="124"/>
      <c r="J14" s="124"/>
      <c r="K14" s="124">
        <v>0</v>
      </c>
      <c r="L14" s="124">
        <v>0</v>
      </c>
      <c r="M14" s="124"/>
      <c r="N14" s="125"/>
      <c r="O14" s="144">
        <v>0</v>
      </c>
    </row>
    <row r="15" spans="1:15" x14ac:dyDescent="0.25">
      <c r="A15" s="147">
        <v>13</v>
      </c>
      <c r="B15" s="24" t="s">
        <v>42</v>
      </c>
      <c r="C15" s="123">
        <v>28620</v>
      </c>
      <c r="D15" s="124">
        <v>30540</v>
      </c>
      <c r="E15" s="124">
        <f>30120+2860</f>
        <v>32980</v>
      </c>
      <c r="F15" s="124">
        <v>31000</v>
      </c>
      <c r="G15" s="124">
        <v>34660</v>
      </c>
      <c r="H15" s="124">
        <v>33360</v>
      </c>
      <c r="I15" s="124">
        <v>31680</v>
      </c>
      <c r="J15" s="124">
        <v>23620</v>
      </c>
      <c r="K15" s="124">
        <v>29360</v>
      </c>
      <c r="L15" s="124">
        <v>31020</v>
      </c>
      <c r="M15" s="124"/>
      <c r="N15" s="125"/>
      <c r="O15" s="144">
        <f>SUM(Tabla8[[#This Row],[Gener]:[Desembre]])</f>
        <v>306840</v>
      </c>
    </row>
    <row r="16" spans="1:15" x14ac:dyDescent="0.25">
      <c r="A16" s="147">
        <v>14</v>
      </c>
      <c r="B16" s="24" t="s">
        <v>11</v>
      </c>
      <c r="C16" s="123"/>
      <c r="D16" s="124"/>
      <c r="E16" s="124"/>
      <c r="F16" s="124"/>
      <c r="G16" s="124"/>
      <c r="H16" s="124"/>
      <c r="I16" s="124"/>
      <c r="J16" s="124"/>
      <c r="K16" s="124">
        <v>0</v>
      </c>
      <c r="L16" s="124">
        <v>0</v>
      </c>
      <c r="M16" s="124"/>
      <c r="N16" s="125"/>
      <c r="O16" s="144">
        <v>0</v>
      </c>
    </row>
    <row r="17" spans="1:15" x14ac:dyDescent="0.25">
      <c r="A17" s="147">
        <v>15</v>
      </c>
      <c r="B17" s="24" t="s">
        <v>12</v>
      </c>
      <c r="C17" s="123"/>
      <c r="D17" s="124"/>
      <c r="E17" s="124"/>
      <c r="F17" s="124"/>
      <c r="G17" s="124"/>
      <c r="H17" s="124"/>
      <c r="I17" s="124"/>
      <c r="J17" s="124"/>
      <c r="K17" s="124">
        <v>0</v>
      </c>
      <c r="L17" s="124">
        <v>0</v>
      </c>
      <c r="M17" s="124"/>
      <c r="N17" s="125"/>
      <c r="O17" s="144">
        <v>0</v>
      </c>
    </row>
    <row r="18" spans="1:15" x14ac:dyDescent="0.25">
      <c r="A18" s="147">
        <v>16</v>
      </c>
      <c r="B18" s="24" t="s">
        <v>13</v>
      </c>
      <c r="C18" s="123"/>
      <c r="D18" s="124"/>
      <c r="E18" s="124"/>
      <c r="F18" s="124"/>
      <c r="G18" s="124"/>
      <c r="H18" s="124"/>
      <c r="I18" s="124"/>
      <c r="J18" s="124"/>
      <c r="K18" s="124">
        <v>0</v>
      </c>
      <c r="L18" s="124">
        <v>0</v>
      </c>
      <c r="M18" s="124"/>
      <c r="N18" s="125"/>
      <c r="O18" s="144">
        <v>0</v>
      </c>
    </row>
    <row r="19" spans="1:15" x14ac:dyDescent="0.25">
      <c r="A19" s="147">
        <v>17</v>
      </c>
      <c r="B19" s="24" t="s">
        <v>14</v>
      </c>
      <c r="C19" s="123">
        <v>53840</v>
      </c>
      <c r="D19" s="124">
        <f>3300+3460+46040</f>
        <v>52800</v>
      </c>
      <c r="E19" s="124">
        <v>52560</v>
      </c>
      <c r="F19" s="124">
        <v>55340</v>
      </c>
      <c r="G19" s="124">
        <v>59280</v>
      </c>
      <c r="H19" s="124">
        <v>56560</v>
      </c>
      <c r="I19" s="124">
        <v>56840</v>
      </c>
      <c r="J19" s="124">
        <v>49680</v>
      </c>
      <c r="K19" s="124">
        <v>54840</v>
      </c>
      <c r="L19" s="124">
        <v>52600</v>
      </c>
      <c r="M19" s="124"/>
      <c r="N19" s="125"/>
      <c r="O19" s="144">
        <f>SUM(Tabla8[[#This Row],[Gener]:[Desembre]])</f>
        <v>544340</v>
      </c>
    </row>
    <row r="20" spans="1:15" x14ac:dyDescent="0.25">
      <c r="A20" s="147">
        <v>18</v>
      </c>
      <c r="B20" s="24" t="s">
        <v>15</v>
      </c>
      <c r="C20" s="123"/>
      <c r="D20" s="124"/>
      <c r="E20" s="124"/>
      <c r="F20" s="124"/>
      <c r="G20" s="124"/>
      <c r="H20" s="124"/>
      <c r="I20" s="124"/>
      <c r="J20" s="124"/>
      <c r="K20" s="124">
        <v>0</v>
      </c>
      <c r="L20" s="124">
        <v>0</v>
      </c>
      <c r="M20" s="124"/>
      <c r="N20" s="125"/>
      <c r="O20" s="144">
        <v>0</v>
      </c>
    </row>
    <row r="21" spans="1:15" x14ac:dyDescent="0.25">
      <c r="A21" s="147">
        <v>19</v>
      </c>
      <c r="B21" s="24" t="s">
        <v>16</v>
      </c>
      <c r="C21" s="123">
        <f>26440+6560</f>
        <v>33000</v>
      </c>
      <c r="D21" s="124">
        <f>140+26340+7000</f>
        <v>33480</v>
      </c>
      <c r="E21" s="124">
        <f>30960+9440</f>
        <v>40400</v>
      </c>
      <c r="F21" s="124">
        <f>26960+8720</f>
        <v>35680</v>
      </c>
      <c r="G21" s="124">
        <f>2160+26700+10060</f>
        <v>38920</v>
      </c>
      <c r="H21" s="124">
        <f>27540+10640</f>
        <v>38180</v>
      </c>
      <c r="I21" s="124">
        <v>35400</v>
      </c>
      <c r="J21" s="124">
        <f>21200+6360</f>
        <v>27560</v>
      </c>
      <c r="K21" s="124">
        <v>36400</v>
      </c>
      <c r="L21" s="124">
        <v>35480</v>
      </c>
      <c r="M21" s="124"/>
      <c r="N21" s="125"/>
      <c r="O21" s="144">
        <f>SUM(Tabla8[[#This Row],[Gener]:[Desembre]])</f>
        <v>354500</v>
      </c>
    </row>
    <row r="22" spans="1:15" x14ac:dyDescent="0.25">
      <c r="A22" s="147">
        <v>20</v>
      </c>
      <c r="B22" s="24" t="s">
        <v>17</v>
      </c>
      <c r="C22" s="123"/>
      <c r="D22" s="124"/>
      <c r="E22" s="124"/>
      <c r="F22" s="124"/>
      <c r="G22" s="124"/>
      <c r="H22" s="124"/>
      <c r="I22" s="124"/>
      <c r="J22" s="124"/>
      <c r="K22" s="124">
        <v>0</v>
      </c>
      <c r="L22" s="124">
        <v>0</v>
      </c>
      <c r="M22" s="124"/>
      <c r="N22" s="125"/>
      <c r="O22" s="144">
        <v>0</v>
      </c>
    </row>
    <row r="23" spans="1:15" x14ac:dyDescent="0.25">
      <c r="A23" s="147">
        <v>21</v>
      </c>
      <c r="B23" s="24" t="s">
        <v>18</v>
      </c>
      <c r="C23" s="123">
        <v>1901.69</v>
      </c>
      <c r="D23" s="124">
        <v>2060.41</v>
      </c>
      <c r="E23" s="124">
        <v>4025.86</v>
      </c>
      <c r="F23" s="124">
        <v>2319.71</v>
      </c>
      <c r="G23" s="124">
        <v>4155.3599999999997</v>
      </c>
      <c r="H23" s="124">
        <v>4721.62</v>
      </c>
      <c r="I23" s="124">
        <v>4414.01</v>
      </c>
      <c r="J23" s="124">
        <v>5114.59</v>
      </c>
      <c r="K23" s="124">
        <v>4092.05</v>
      </c>
      <c r="L23" s="124">
        <v>4036.24</v>
      </c>
      <c r="M23" s="124"/>
      <c r="N23" s="125"/>
      <c r="O23" s="144">
        <f>SUM(Tabla8[[#This Row],[Gener]:[Desembre]])</f>
        <v>36841.539999999994</v>
      </c>
    </row>
    <row r="24" spans="1:15" x14ac:dyDescent="0.25">
      <c r="A24" s="147">
        <v>22</v>
      </c>
      <c r="B24" s="24" t="s">
        <v>19</v>
      </c>
      <c r="C24" s="123"/>
      <c r="D24" s="124"/>
      <c r="E24" s="124"/>
      <c r="F24" s="124"/>
      <c r="G24" s="124"/>
      <c r="H24" s="124"/>
      <c r="I24" s="124"/>
      <c r="J24" s="124"/>
      <c r="K24" s="124">
        <v>0</v>
      </c>
      <c r="L24" s="124">
        <v>0</v>
      </c>
      <c r="M24" s="124"/>
      <c r="N24" s="125"/>
      <c r="O24" s="144">
        <v>0</v>
      </c>
    </row>
    <row r="25" spans="1:15" x14ac:dyDescent="0.25">
      <c r="A25" s="147">
        <v>23</v>
      </c>
      <c r="B25" s="24" t="s">
        <v>43</v>
      </c>
      <c r="C25" s="123"/>
      <c r="D25" s="124"/>
      <c r="E25" s="124"/>
      <c r="F25" s="124"/>
      <c r="G25" s="124"/>
      <c r="H25" s="124"/>
      <c r="I25" s="124"/>
      <c r="J25" s="124"/>
      <c r="K25" s="124">
        <v>0</v>
      </c>
      <c r="L25" s="124">
        <v>0</v>
      </c>
      <c r="M25" s="124"/>
      <c r="N25" s="125"/>
      <c r="O25" s="144">
        <v>0</v>
      </c>
    </row>
    <row r="26" spans="1:15" x14ac:dyDescent="0.25">
      <c r="A26" s="147">
        <v>24</v>
      </c>
      <c r="B26" s="24" t="s">
        <v>44</v>
      </c>
      <c r="C26" s="123">
        <f>34660+33620</f>
        <v>68280</v>
      </c>
      <c r="D26" s="124">
        <f>1740+31920+31780</f>
        <v>65440</v>
      </c>
      <c r="E26" s="124">
        <v>90040</v>
      </c>
      <c r="F26" s="124">
        <f>38080+56240</f>
        <v>94320</v>
      </c>
      <c r="G26" s="124">
        <f>44000+70560</f>
        <v>114560</v>
      </c>
      <c r="H26" s="124">
        <f>42580+61440</f>
        <v>104020</v>
      </c>
      <c r="I26" s="124">
        <v>90220</v>
      </c>
      <c r="J26" s="124">
        <f>36840+58980</f>
        <v>95820</v>
      </c>
      <c r="K26" s="124">
        <v>84930</v>
      </c>
      <c r="L26" s="124">
        <v>78720</v>
      </c>
      <c r="M26" s="124"/>
      <c r="N26" s="125"/>
      <c r="O26" s="144">
        <f>SUM(Tabla8[[#This Row],[Gener]:[Desembre]])</f>
        <v>886350</v>
      </c>
    </row>
    <row r="27" spans="1:15" x14ac:dyDescent="0.25">
      <c r="A27" s="147">
        <v>25</v>
      </c>
      <c r="B27" s="24" t="s">
        <v>20</v>
      </c>
      <c r="C27" s="123"/>
      <c r="D27" s="124"/>
      <c r="E27" s="124"/>
      <c r="F27" s="124"/>
      <c r="G27" s="124"/>
      <c r="H27" s="124"/>
      <c r="I27" s="124"/>
      <c r="J27" s="124"/>
      <c r="K27" s="124">
        <v>0</v>
      </c>
      <c r="L27" s="124">
        <v>0</v>
      </c>
      <c r="M27" s="124"/>
      <c r="N27" s="125"/>
      <c r="O27" s="144">
        <v>0</v>
      </c>
    </row>
    <row r="28" spans="1:15" x14ac:dyDescent="0.25">
      <c r="A28" s="147">
        <v>26</v>
      </c>
      <c r="B28" s="24" t="s">
        <v>45</v>
      </c>
      <c r="C28" s="123">
        <v>30060</v>
      </c>
      <c r="D28" s="124">
        <v>28400</v>
      </c>
      <c r="E28" s="124">
        <v>37960</v>
      </c>
      <c r="F28" s="124">
        <v>38000</v>
      </c>
      <c r="G28" s="124">
        <v>44000</v>
      </c>
      <c r="H28" s="124">
        <v>38980</v>
      </c>
      <c r="I28" s="124">
        <v>36340</v>
      </c>
      <c r="J28" s="124">
        <v>35740</v>
      </c>
      <c r="K28" s="124">
        <v>35120</v>
      </c>
      <c r="L28" s="124">
        <v>35280</v>
      </c>
      <c r="M28" s="124"/>
      <c r="N28" s="125"/>
      <c r="O28" s="144">
        <f>SUM(Tabla8[[#This Row],[Gener]:[Desembre]])</f>
        <v>359880</v>
      </c>
    </row>
    <row r="29" spans="1:15" x14ac:dyDescent="0.25">
      <c r="A29" s="147">
        <v>27</v>
      </c>
      <c r="B29" s="24" t="s">
        <v>46</v>
      </c>
      <c r="C29" s="123"/>
      <c r="D29" s="124"/>
      <c r="E29" s="124"/>
      <c r="F29" s="124"/>
      <c r="G29" s="124"/>
      <c r="H29" s="124"/>
      <c r="I29" s="124"/>
      <c r="J29" s="124"/>
      <c r="K29" s="124">
        <v>0</v>
      </c>
      <c r="L29" s="124">
        <v>0</v>
      </c>
      <c r="M29" s="124"/>
      <c r="N29" s="125"/>
      <c r="O29" s="144">
        <f>SUM(Tabla8[[#This Row],[Gener]:[Desembre]])</f>
        <v>0</v>
      </c>
    </row>
    <row r="30" spans="1:15" x14ac:dyDescent="0.25">
      <c r="A30" s="147">
        <v>28</v>
      </c>
      <c r="B30" s="24" t="s">
        <v>47</v>
      </c>
      <c r="C30" s="123"/>
      <c r="D30" s="124"/>
      <c r="E30" s="124"/>
      <c r="F30" s="124"/>
      <c r="G30" s="124"/>
      <c r="H30" s="124"/>
      <c r="I30" s="124"/>
      <c r="J30" s="124"/>
      <c r="K30" s="124">
        <v>0</v>
      </c>
      <c r="L30" s="124">
        <v>21160</v>
      </c>
      <c r="M30" s="124"/>
      <c r="N30" s="125"/>
      <c r="O30" s="144">
        <v>0</v>
      </c>
    </row>
    <row r="31" spans="1:15" x14ac:dyDescent="0.25">
      <c r="A31" s="147">
        <v>29</v>
      </c>
      <c r="B31" s="24" t="s">
        <v>48</v>
      </c>
      <c r="C31" s="123">
        <v>304.16000000000003</v>
      </c>
      <c r="D31" s="124">
        <v>216.76</v>
      </c>
      <c r="E31" s="124">
        <v>540.01</v>
      </c>
      <c r="F31" s="124">
        <v>441.07</v>
      </c>
      <c r="G31" s="124">
        <v>597.70000000000005</v>
      </c>
      <c r="H31" s="124">
        <v>1072.21</v>
      </c>
      <c r="I31" s="124">
        <v>82.96</v>
      </c>
      <c r="J31" s="124">
        <v>1175.02</v>
      </c>
      <c r="K31" s="124">
        <v>626.66</v>
      </c>
      <c r="L31" s="124">
        <v>1480.66</v>
      </c>
      <c r="M31" s="124"/>
      <c r="N31" s="125"/>
      <c r="O31" s="144">
        <f>SUM(Tabla8[[#This Row],[Gener]:[Desembre]])</f>
        <v>6537.2099999999991</v>
      </c>
    </row>
    <row r="32" spans="1:15" x14ac:dyDescent="0.25">
      <c r="A32" s="147">
        <v>30</v>
      </c>
      <c r="B32" s="24" t="s">
        <v>50</v>
      </c>
      <c r="C32" s="123">
        <v>59220</v>
      </c>
      <c r="D32" s="124">
        <f>1700+55780</f>
        <v>57480</v>
      </c>
      <c r="E32" s="124">
        <v>66300</v>
      </c>
      <c r="F32" s="124">
        <v>61760</v>
      </c>
      <c r="G32" s="124">
        <v>67960</v>
      </c>
      <c r="H32" s="124">
        <v>65720</v>
      </c>
      <c r="I32" s="124">
        <v>63680</v>
      </c>
      <c r="J32" s="124">
        <v>61520</v>
      </c>
      <c r="K32" s="124">
        <v>63500</v>
      </c>
      <c r="L32" s="124">
        <v>61220</v>
      </c>
      <c r="M32" s="124"/>
      <c r="N32" s="125"/>
      <c r="O32" s="144">
        <f>SUM(Tabla8[[#This Row],[Gener]:[Desembre]])</f>
        <v>628360</v>
      </c>
    </row>
    <row r="33" spans="1:15" x14ac:dyDescent="0.25">
      <c r="A33" s="147">
        <v>31</v>
      </c>
      <c r="B33" s="24" t="s">
        <v>51</v>
      </c>
      <c r="C33" s="123">
        <v>8680</v>
      </c>
      <c r="D33" s="124">
        <v>8740</v>
      </c>
      <c r="E33" s="124">
        <v>10640</v>
      </c>
      <c r="F33" s="124">
        <v>9560</v>
      </c>
      <c r="G33" s="124">
        <v>10060</v>
      </c>
      <c r="H33" s="124">
        <v>9680</v>
      </c>
      <c r="I33" s="124">
        <v>8780</v>
      </c>
      <c r="J33" s="124">
        <v>8200</v>
      </c>
      <c r="K33" s="124">
        <v>8520</v>
      </c>
      <c r="L33" s="124">
        <v>7940</v>
      </c>
      <c r="M33" s="124"/>
      <c r="N33" s="125"/>
      <c r="O33" s="144">
        <f>SUM(Tabla8[[#This Row],[Gener]:[Desembre]])</f>
        <v>90800</v>
      </c>
    </row>
    <row r="34" spans="1:15" x14ac:dyDescent="0.25">
      <c r="A34" s="147">
        <v>32</v>
      </c>
      <c r="B34" s="24" t="s">
        <v>52</v>
      </c>
      <c r="C34" s="123"/>
      <c r="D34" s="124"/>
      <c r="E34" s="124"/>
      <c r="F34" s="124"/>
      <c r="G34" s="124"/>
      <c r="H34" s="124"/>
      <c r="I34" s="124"/>
      <c r="J34" s="124"/>
      <c r="K34" s="124">
        <v>0</v>
      </c>
      <c r="L34" s="124">
        <v>0</v>
      </c>
      <c r="M34" s="124"/>
      <c r="N34" s="125"/>
      <c r="O34" s="144">
        <v>0</v>
      </c>
    </row>
    <row r="35" spans="1:15" x14ac:dyDescent="0.25">
      <c r="A35" s="147">
        <v>33</v>
      </c>
      <c r="B35" s="24" t="s">
        <v>21</v>
      </c>
      <c r="C35" s="123"/>
      <c r="D35" s="124"/>
      <c r="E35" s="124"/>
      <c r="F35" s="124"/>
      <c r="G35" s="124"/>
      <c r="H35" s="124"/>
      <c r="I35" s="124"/>
      <c r="J35" s="124"/>
      <c r="K35" s="124">
        <v>0</v>
      </c>
      <c r="L35" s="124">
        <v>0</v>
      </c>
      <c r="M35" s="124"/>
      <c r="N35" s="125"/>
      <c r="O35" s="144">
        <v>0</v>
      </c>
    </row>
    <row r="36" spans="1:15" x14ac:dyDescent="0.25">
      <c r="A36" s="147">
        <v>34</v>
      </c>
      <c r="B36" s="24" t="s">
        <v>22</v>
      </c>
      <c r="C36" s="123">
        <v>9861.75</v>
      </c>
      <c r="D36" s="124">
        <v>9014.64</v>
      </c>
      <c r="E36" s="124">
        <v>13223.06</v>
      </c>
      <c r="F36" s="124">
        <f>12445.53+593.94</f>
        <v>13039.470000000001</v>
      </c>
      <c r="G36" s="124">
        <v>14597.87</v>
      </c>
      <c r="H36" s="124">
        <v>12511.3</v>
      </c>
      <c r="I36" s="124">
        <v>12730.55</v>
      </c>
      <c r="J36" s="124">
        <v>12483.07</v>
      </c>
      <c r="K36" s="124">
        <v>10635.67</v>
      </c>
      <c r="L36" s="124">
        <v>11444.37</v>
      </c>
      <c r="M36" s="124"/>
      <c r="N36" s="125"/>
      <c r="O36" s="144">
        <f>SUM(Tabla8[[#This Row],[Gener]:[Desembre]])</f>
        <v>119541.74999999999</v>
      </c>
    </row>
    <row r="37" spans="1:15" x14ac:dyDescent="0.25">
      <c r="A37" s="147">
        <v>35</v>
      </c>
      <c r="B37" s="24" t="s">
        <v>23</v>
      </c>
      <c r="C37" s="123"/>
      <c r="D37" s="124"/>
      <c r="E37" s="124"/>
      <c r="F37" s="124"/>
      <c r="G37" s="124"/>
      <c r="H37" s="124"/>
      <c r="I37" s="124"/>
      <c r="J37" s="124"/>
      <c r="K37" s="124">
        <v>0</v>
      </c>
      <c r="L37" s="124">
        <v>0</v>
      </c>
      <c r="M37" s="124"/>
      <c r="N37" s="125"/>
      <c r="O37" s="144">
        <v>0</v>
      </c>
    </row>
    <row r="38" spans="1:15" x14ac:dyDescent="0.25">
      <c r="A38" s="147">
        <v>36</v>
      </c>
      <c r="B38" s="24" t="s">
        <v>24</v>
      </c>
      <c r="C38" s="123">
        <v>2878.25</v>
      </c>
      <c r="D38" s="124">
        <v>3085.36</v>
      </c>
      <c r="E38" s="124">
        <v>3556.94</v>
      </c>
      <c r="F38" s="124">
        <f>3014.47+186.06</f>
        <v>3200.5299999999997</v>
      </c>
      <c r="G38" s="124">
        <v>4102.13</v>
      </c>
      <c r="H38" s="124">
        <v>3608.7</v>
      </c>
      <c r="I38" s="124">
        <v>3369.45</v>
      </c>
      <c r="J38" s="124">
        <v>3816.93</v>
      </c>
      <c r="K38" s="124">
        <v>2684.33</v>
      </c>
      <c r="L38" s="124">
        <v>3255.63</v>
      </c>
      <c r="M38" s="124"/>
      <c r="N38" s="125"/>
      <c r="O38" s="144">
        <f>SUM(Tabla8[[#This Row],[Gener]:[Desembre]])</f>
        <v>33558.25</v>
      </c>
    </row>
    <row r="39" spans="1:15" x14ac:dyDescent="0.25">
      <c r="A39" s="147">
        <v>37</v>
      </c>
      <c r="B39" s="24" t="s">
        <v>25</v>
      </c>
      <c r="C39" s="123"/>
      <c r="D39" s="124"/>
      <c r="E39" s="124"/>
      <c r="F39" s="124"/>
      <c r="G39" s="124"/>
      <c r="H39" s="124"/>
      <c r="I39" s="124"/>
      <c r="J39" s="124"/>
      <c r="K39" s="124">
        <v>0</v>
      </c>
      <c r="L39" s="124">
        <v>0</v>
      </c>
      <c r="M39" s="124"/>
      <c r="N39" s="125"/>
      <c r="O39" s="144">
        <v>0</v>
      </c>
    </row>
    <row r="40" spans="1:15" x14ac:dyDescent="0.25">
      <c r="A40" s="147">
        <v>38</v>
      </c>
      <c r="B40" s="24" t="s">
        <v>5</v>
      </c>
      <c r="C40" s="123"/>
      <c r="D40" s="124"/>
      <c r="E40" s="124"/>
      <c r="F40" s="124"/>
      <c r="G40" s="124"/>
      <c r="H40" s="124"/>
      <c r="I40" s="124"/>
      <c r="J40" s="124"/>
      <c r="K40" s="124">
        <v>0</v>
      </c>
      <c r="L40" s="124">
        <v>0</v>
      </c>
      <c r="M40" s="124"/>
      <c r="N40" s="125"/>
      <c r="O40" s="144">
        <v>0</v>
      </c>
    </row>
    <row r="41" spans="1:15" x14ac:dyDescent="0.25">
      <c r="A41" s="147">
        <v>39</v>
      </c>
      <c r="B41" s="24" t="s">
        <v>6</v>
      </c>
      <c r="C41" s="123">
        <v>23520</v>
      </c>
      <c r="D41" s="124">
        <v>22220</v>
      </c>
      <c r="E41" s="124">
        <v>27240</v>
      </c>
      <c r="F41" s="124">
        <v>27000</v>
      </c>
      <c r="G41" s="124">
        <f>1460+29120</f>
        <v>30580</v>
      </c>
      <c r="H41" s="124">
        <v>32480</v>
      </c>
      <c r="I41" s="124">
        <v>35000</v>
      </c>
      <c r="J41" s="124">
        <v>36560</v>
      </c>
      <c r="K41" s="124">
        <v>29180</v>
      </c>
      <c r="L41" s="124">
        <v>26480</v>
      </c>
      <c r="M41" s="124"/>
      <c r="N41" s="125"/>
      <c r="O41" s="144">
        <f>SUM(Tabla8[[#This Row],[Gener]:[Desembre]])</f>
        <v>290260</v>
      </c>
    </row>
    <row r="42" spans="1:15" x14ac:dyDescent="0.25">
      <c r="A42" s="147">
        <v>40</v>
      </c>
      <c r="B42" s="24" t="s">
        <v>8</v>
      </c>
      <c r="C42" s="123"/>
      <c r="D42" s="124"/>
      <c r="E42" s="124"/>
      <c r="F42" s="124"/>
      <c r="G42" s="124"/>
      <c r="H42" s="124"/>
      <c r="I42" s="124"/>
      <c r="J42" s="124"/>
      <c r="K42" s="124">
        <v>0</v>
      </c>
      <c r="L42" s="124">
        <v>0</v>
      </c>
      <c r="M42" s="124"/>
      <c r="N42" s="125"/>
      <c r="O42" s="144">
        <v>0</v>
      </c>
    </row>
    <row r="43" spans="1:15" ht="15.75" thickBot="1" x14ac:dyDescent="0.3">
      <c r="A43" s="148">
        <v>41</v>
      </c>
      <c r="B43" s="25" t="s">
        <v>49</v>
      </c>
      <c r="C43" s="126"/>
      <c r="D43" s="127"/>
      <c r="E43" s="127"/>
      <c r="F43" s="127"/>
      <c r="G43" s="127"/>
      <c r="H43" s="127"/>
      <c r="I43" s="127"/>
      <c r="J43" s="127"/>
      <c r="K43" s="127">
        <v>0</v>
      </c>
      <c r="L43" s="127">
        <v>0</v>
      </c>
      <c r="M43" s="127"/>
      <c r="N43" s="128"/>
      <c r="O43" s="145">
        <f>SUM(Tabla8[[#This Row],[Gener]:[Desembre]])</f>
        <v>0</v>
      </c>
    </row>
    <row r="44" spans="1:15" s="4" customFormat="1" ht="15.75" thickBot="1" x14ac:dyDescent="0.3">
      <c r="A44" s="118"/>
      <c r="B44" s="23" t="s">
        <v>135</v>
      </c>
      <c r="C44" s="16">
        <f t="shared" ref="C44:N44" si="0">SUBTOTAL(109,C4:C43)</f>
        <v>430299.99999999994</v>
      </c>
      <c r="D44" s="17">
        <f t="shared" si="0"/>
        <v>424100</v>
      </c>
      <c r="E44" s="17">
        <f t="shared" si="0"/>
        <v>513779.99</v>
      </c>
      <c r="F44" s="17">
        <f t="shared" si="0"/>
        <v>507720</v>
      </c>
      <c r="G44" s="17">
        <f t="shared" si="0"/>
        <v>571600.01</v>
      </c>
      <c r="H44" s="17">
        <f t="shared" si="0"/>
        <v>545060</v>
      </c>
      <c r="I44" s="17">
        <f t="shared" si="0"/>
        <v>514319.99</v>
      </c>
      <c r="J44" s="17">
        <f>SUBTOTAL(109,J4:J43)</f>
        <v>483699.99</v>
      </c>
      <c r="K44" s="17">
        <f t="shared" si="0"/>
        <v>476529.99999999994</v>
      </c>
      <c r="L44" s="17">
        <f t="shared" si="0"/>
        <v>495819.99999999994</v>
      </c>
      <c r="M44" s="17">
        <f t="shared" si="0"/>
        <v>0</v>
      </c>
      <c r="N44" s="17">
        <f t="shared" si="0"/>
        <v>0</v>
      </c>
      <c r="O44" s="28">
        <f>SUM(Tabla8[[#This Row],[Gener]:[Desembre]])</f>
        <v>4962929.9800000004</v>
      </c>
    </row>
    <row r="45" spans="1:15" ht="15.75" thickBot="1" x14ac:dyDescent="0.3">
      <c r="A45" s="118"/>
      <c r="B45" s="29" t="s">
        <v>124</v>
      </c>
      <c r="C45" s="30">
        <v>440780.04</v>
      </c>
      <c r="D45" s="31">
        <v>433039.99</v>
      </c>
      <c r="E45" s="31">
        <v>478840</v>
      </c>
      <c r="F45" s="31">
        <v>534160</v>
      </c>
      <c r="G45" s="31">
        <v>574699.99999999988</v>
      </c>
      <c r="H45" s="31">
        <v>578519.99999999988</v>
      </c>
      <c r="I45" s="31">
        <v>560240.01000000013</v>
      </c>
      <c r="J45" s="31">
        <v>538654</v>
      </c>
      <c r="K45" s="31">
        <v>508699.99</v>
      </c>
      <c r="L45" s="31">
        <v>486720</v>
      </c>
      <c r="M45" s="31">
        <v>479620</v>
      </c>
      <c r="N45" s="32">
        <v>459880</v>
      </c>
      <c r="O45" s="33">
        <f>SUM(Tabla8[[#This Row],[Gener]:[Desembre]])</f>
        <v>6073854.0300000003</v>
      </c>
    </row>
    <row r="46" spans="1:15" ht="15.75" thickBot="1" x14ac:dyDescent="0.3">
      <c r="A46" s="118"/>
      <c r="B46" s="94" t="s">
        <v>58</v>
      </c>
      <c r="C46" s="141">
        <f t="shared" ref="C46:O46" si="1">(C44/C45)-1</f>
        <v>-2.3776121985923049E-2</v>
      </c>
      <c r="D46" s="142">
        <f t="shared" si="1"/>
        <v>-2.0644721518675468E-2</v>
      </c>
      <c r="E46" s="142">
        <f t="shared" si="1"/>
        <v>7.2967985130732549E-2</v>
      </c>
      <c r="F46" s="142">
        <f t="shared" si="1"/>
        <v>-4.9498277669612123E-2</v>
      </c>
      <c r="G46" s="142">
        <f t="shared" si="1"/>
        <v>-5.3941012702277691E-3</v>
      </c>
      <c r="H46" s="142">
        <f t="shared" si="1"/>
        <v>-5.7837239853418931E-2</v>
      </c>
      <c r="I46" s="142">
        <f t="shared" si="1"/>
        <v>-8.1964906433583895E-2</v>
      </c>
      <c r="J46" s="142">
        <f t="shared" si="1"/>
        <v>-0.10202098192903053</v>
      </c>
      <c r="K46" s="142">
        <f t="shared" si="1"/>
        <v>-6.3239612015718816E-2</v>
      </c>
      <c r="L46" s="142">
        <f t="shared" si="1"/>
        <v>1.869658119658113E-2</v>
      </c>
      <c r="M46" s="142">
        <f t="shared" si="1"/>
        <v>-1</v>
      </c>
      <c r="N46" s="142">
        <f t="shared" si="1"/>
        <v>-1</v>
      </c>
      <c r="O46" s="243">
        <f t="shared" si="1"/>
        <v>-0.1829026585941842</v>
      </c>
    </row>
    <row r="49" spans="15:16" x14ac:dyDescent="0.25">
      <c r="O49" s="2"/>
    </row>
    <row r="50" spans="15:16" x14ac:dyDescent="0.25">
      <c r="O50" s="2"/>
      <c r="P50" s="21"/>
    </row>
    <row r="51" spans="15:16" x14ac:dyDescent="0.25">
      <c r="P51" s="21"/>
    </row>
    <row r="52" spans="15:16" x14ac:dyDescent="0.25">
      <c r="P52" s="21"/>
    </row>
    <row r="53" spans="15:16" x14ac:dyDescent="0.25">
      <c r="P53" s="21"/>
    </row>
    <row r="54" spans="15:16" x14ac:dyDescent="0.25">
      <c r="P54" s="21"/>
    </row>
    <row r="55" spans="15:16" x14ac:dyDescent="0.25">
      <c r="P55" s="21"/>
    </row>
    <row r="56" spans="15:16" x14ac:dyDescent="0.25">
      <c r="O56" s="4"/>
    </row>
    <row r="57" spans="15:16" x14ac:dyDescent="0.25">
      <c r="O57" s="4"/>
    </row>
    <row r="58" spans="15:16" x14ac:dyDescent="0.25">
      <c r="O58" s="4"/>
    </row>
  </sheetData>
  <sheetProtection sheet="1" objects="1" scenarios="1"/>
  <sortState ref="B4:O45">
    <sortCondition ref="B4:B45"/>
  </sortState>
  <conditionalFormatting sqref="C46:O46">
    <cfRule type="cellIs" dxfId="59" priority="1" operator="lessThan">
      <formula>0</formula>
    </cfRule>
  </conditionalFormatting>
  <pageMargins left="0.23622047244094491" right="0.23622047244094491" top="0.51" bottom="0.18" header="0.19685039370078741" footer="0.19"/>
  <pageSetup paperSize="9" scale="77" orientation="landscape" copies="5" r:id="rId1"/>
  <headerFooter>
    <oddHeader>&amp;L&amp;"Calibri,Normal"&amp;G&amp;C&amp;"Calibri,Normal"&amp;F&amp;R&amp;"Calibri,Normal"&amp;G</oddHeader>
    <oddFooter>&amp;L&amp;"Calibri,Normal"&amp;D&amp;C&amp;"Calibri,Normal"&amp;A&amp;R&amp;"Calibri,Normal"&amp;P de&amp;N</oddFooter>
  </headerFooter>
  <drawing r:id="rId2"/>
  <legacyDrawingHF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90" zoomScaleNormal="90" workbookViewId="0">
      <selection activeCell="K21" sqref="K21"/>
    </sheetView>
  </sheetViews>
  <sheetFormatPr baseColWidth="10" defaultRowHeight="15" x14ac:dyDescent="0.25"/>
  <cols>
    <col min="1" max="1" width="5.28515625" customWidth="1"/>
    <col min="2" max="2" width="32.7109375" style="62" customWidth="1"/>
    <col min="3" max="14" width="9.85546875" style="63" customWidth="1"/>
    <col min="15" max="15" width="10.28515625" style="64" customWidth="1"/>
    <col min="16" max="18" width="17" customWidth="1"/>
    <col min="19" max="19" width="17" style="62" customWidth="1"/>
    <col min="20" max="1023" width="17" customWidth="1"/>
  </cols>
  <sheetData>
    <row r="1" spans="1:19" ht="15.75" x14ac:dyDescent="0.25">
      <c r="B1" s="60" t="s">
        <v>141</v>
      </c>
      <c r="C1"/>
      <c r="D1"/>
      <c r="E1"/>
      <c r="F1"/>
      <c r="G1"/>
      <c r="H1"/>
      <c r="I1"/>
      <c r="J1"/>
      <c r="K1"/>
      <c r="L1"/>
      <c r="M1"/>
      <c r="N1"/>
      <c r="O1" s="61"/>
    </row>
    <row r="2" spans="1:19" ht="15.75" thickBot="1" x14ac:dyDescent="0.3">
      <c r="B2"/>
      <c r="C2"/>
      <c r="D2"/>
      <c r="E2"/>
      <c r="F2"/>
      <c r="G2"/>
      <c r="H2"/>
      <c r="I2"/>
      <c r="J2"/>
      <c r="K2"/>
      <c r="L2"/>
      <c r="M2"/>
      <c r="N2"/>
      <c r="O2" s="61"/>
    </row>
    <row r="3" spans="1:19" ht="15.75" thickBot="1" x14ac:dyDescent="0.3">
      <c r="A3" s="132" t="s">
        <v>59</v>
      </c>
      <c r="B3" s="133" t="s">
        <v>57</v>
      </c>
      <c r="C3" s="134" t="s">
        <v>26</v>
      </c>
      <c r="D3" s="130" t="s">
        <v>27</v>
      </c>
      <c r="E3" s="130" t="s">
        <v>28</v>
      </c>
      <c r="F3" s="130" t="s">
        <v>29</v>
      </c>
      <c r="G3" s="130" t="s">
        <v>30</v>
      </c>
      <c r="H3" s="130" t="s">
        <v>31</v>
      </c>
      <c r="I3" s="130" t="s">
        <v>32</v>
      </c>
      <c r="J3" s="130" t="s">
        <v>33</v>
      </c>
      <c r="K3" s="130" t="s">
        <v>34</v>
      </c>
      <c r="L3" s="130" t="s">
        <v>35</v>
      </c>
      <c r="M3" s="130" t="s">
        <v>36</v>
      </c>
      <c r="N3" s="131" t="s">
        <v>37</v>
      </c>
      <c r="O3" s="132" t="s">
        <v>38</v>
      </c>
    </row>
    <row r="4" spans="1:19" x14ac:dyDescent="0.25">
      <c r="A4" s="181">
        <v>1</v>
      </c>
      <c r="B4" s="184" t="s">
        <v>39</v>
      </c>
      <c r="C4" s="188">
        <v>28460</v>
      </c>
      <c r="D4" s="175">
        <v>33220</v>
      </c>
      <c r="E4" s="175">
        <v>43780</v>
      </c>
      <c r="F4" s="176">
        <v>40640</v>
      </c>
      <c r="G4" s="176">
        <v>43980</v>
      </c>
      <c r="H4" s="176">
        <v>40420</v>
      </c>
      <c r="I4" s="176">
        <v>34800</v>
      </c>
      <c r="J4" s="176">
        <v>36840</v>
      </c>
      <c r="K4" s="176">
        <v>29940</v>
      </c>
      <c r="L4" s="176">
        <v>30000</v>
      </c>
      <c r="M4" s="176"/>
      <c r="N4" s="189"/>
      <c r="O4" s="194">
        <f>SUM(Tabla911[[#This Row],[Gener]:[Desembre]])</f>
        <v>362080</v>
      </c>
      <c r="R4" s="305"/>
      <c r="S4" s="306"/>
    </row>
    <row r="5" spans="1:19" x14ac:dyDescent="0.25">
      <c r="A5" s="182">
        <v>2</v>
      </c>
      <c r="B5" s="185" t="s">
        <v>0</v>
      </c>
      <c r="C5" s="190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309"/>
      <c r="O5" s="195"/>
      <c r="R5" s="305"/>
      <c r="S5" s="306"/>
    </row>
    <row r="6" spans="1:19" x14ac:dyDescent="0.25">
      <c r="A6" s="182">
        <v>3</v>
      </c>
      <c r="B6" s="185" t="s">
        <v>1</v>
      </c>
      <c r="C6" s="190"/>
      <c r="D6" s="177"/>
      <c r="E6" s="177"/>
      <c r="F6" s="178"/>
      <c r="G6" s="178"/>
      <c r="H6" s="178"/>
      <c r="I6" s="178"/>
      <c r="J6" s="178"/>
      <c r="K6" s="178"/>
      <c r="L6" s="178"/>
      <c r="M6" s="178"/>
      <c r="N6" s="191"/>
      <c r="O6" s="195"/>
      <c r="R6" s="305"/>
      <c r="S6" s="306"/>
    </row>
    <row r="7" spans="1:19" x14ac:dyDescent="0.25">
      <c r="A7" s="182">
        <v>4</v>
      </c>
      <c r="B7" s="185" t="s">
        <v>2</v>
      </c>
      <c r="C7" s="190"/>
      <c r="D7" s="177"/>
      <c r="E7" s="177"/>
      <c r="F7" s="178"/>
      <c r="G7" s="178"/>
      <c r="H7" s="178"/>
      <c r="I7" s="178"/>
      <c r="J7" s="178"/>
      <c r="K7" s="178"/>
      <c r="L7" s="178"/>
      <c r="M7" s="178"/>
      <c r="N7" s="191"/>
      <c r="O7" s="195"/>
    </row>
    <row r="8" spans="1:19" x14ac:dyDescent="0.25">
      <c r="A8" s="182">
        <v>5</v>
      </c>
      <c r="B8" s="185" t="s">
        <v>3</v>
      </c>
      <c r="C8" s="190"/>
      <c r="D8" s="177"/>
      <c r="E8" s="177"/>
      <c r="F8" s="178"/>
      <c r="G8" s="178"/>
      <c r="H8" s="178"/>
      <c r="I8" s="178"/>
      <c r="J8" s="178"/>
      <c r="K8" s="178"/>
      <c r="L8" s="178"/>
      <c r="M8" s="178"/>
      <c r="N8" s="191"/>
      <c r="O8" s="195"/>
    </row>
    <row r="9" spans="1:19" x14ac:dyDescent="0.25">
      <c r="A9" s="182">
        <v>6</v>
      </c>
      <c r="B9" s="185" t="s">
        <v>4</v>
      </c>
      <c r="C9" s="190"/>
      <c r="D9" s="177"/>
      <c r="E9" s="177"/>
      <c r="F9" s="178"/>
      <c r="G9" s="178"/>
      <c r="H9" s="178">
        <v>520</v>
      </c>
      <c r="I9" s="178">
        <v>480</v>
      </c>
      <c r="J9" s="178">
        <v>1540</v>
      </c>
      <c r="K9" s="178">
        <v>940</v>
      </c>
      <c r="L9" s="178">
        <v>1260</v>
      </c>
      <c r="M9" s="178"/>
      <c r="N9" s="191"/>
      <c r="O9" s="195">
        <f>SUM(Tabla911[[#This Row],[Gener]:[Desembre]])</f>
        <v>4740</v>
      </c>
    </row>
    <row r="10" spans="1:19" x14ac:dyDescent="0.25">
      <c r="A10" s="182">
        <v>8</v>
      </c>
      <c r="B10" s="185" t="s">
        <v>7</v>
      </c>
      <c r="C10" s="190"/>
      <c r="D10" s="177"/>
      <c r="E10" s="177"/>
      <c r="F10" s="178"/>
      <c r="G10" s="178"/>
      <c r="H10" s="178"/>
      <c r="I10" s="178"/>
      <c r="J10" s="178"/>
      <c r="K10" s="178"/>
      <c r="L10" s="178"/>
      <c r="M10" s="178"/>
      <c r="N10" s="191"/>
      <c r="O10" s="195"/>
    </row>
    <row r="11" spans="1:19" x14ac:dyDescent="0.25">
      <c r="A11" s="182">
        <v>9</v>
      </c>
      <c r="B11" s="186" t="s">
        <v>40</v>
      </c>
      <c r="C11" s="190"/>
      <c r="D11" s="177"/>
      <c r="E11" s="177"/>
      <c r="F11" s="178"/>
      <c r="G11" s="178"/>
      <c r="H11" s="178"/>
      <c r="I11" s="178"/>
      <c r="J11" s="178"/>
      <c r="K11" s="178"/>
      <c r="L11" s="178"/>
      <c r="M11" s="178"/>
      <c r="N11" s="191"/>
      <c r="O11" s="195"/>
    </row>
    <row r="12" spans="1:19" x14ac:dyDescent="0.25">
      <c r="A12" s="182">
        <v>10</v>
      </c>
      <c r="B12" s="186" t="s">
        <v>41</v>
      </c>
      <c r="C12" s="190"/>
      <c r="D12" s="177"/>
      <c r="E12" s="177"/>
      <c r="F12" s="178"/>
      <c r="G12" s="178"/>
      <c r="H12" s="178"/>
      <c r="I12" s="178"/>
      <c r="J12" s="178"/>
      <c r="K12" s="178"/>
      <c r="L12" s="178"/>
      <c r="M12" s="178"/>
      <c r="N12" s="191"/>
      <c r="O12" s="195"/>
    </row>
    <row r="13" spans="1:19" x14ac:dyDescent="0.25">
      <c r="A13" s="182">
        <v>11</v>
      </c>
      <c r="B13" s="185" t="s">
        <v>9</v>
      </c>
      <c r="C13" s="190"/>
      <c r="D13" s="177"/>
      <c r="E13" s="177"/>
      <c r="F13" s="178"/>
      <c r="G13" s="178"/>
      <c r="H13" s="178"/>
      <c r="I13" s="178"/>
      <c r="J13" s="178"/>
      <c r="K13" s="178"/>
      <c r="L13" s="178"/>
      <c r="M13" s="178"/>
      <c r="N13" s="191"/>
      <c r="O13" s="195"/>
    </row>
    <row r="14" spans="1:19" x14ac:dyDescent="0.25">
      <c r="A14" s="182">
        <v>12</v>
      </c>
      <c r="B14" s="185" t="s">
        <v>10</v>
      </c>
      <c r="C14" s="190"/>
      <c r="D14" s="177"/>
      <c r="E14" s="177"/>
      <c r="F14" s="178"/>
      <c r="G14" s="178"/>
      <c r="H14" s="178"/>
      <c r="I14" s="178"/>
      <c r="J14" s="178"/>
      <c r="K14" s="178"/>
      <c r="L14" s="178"/>
      <c r="M14" s="178"/>
      <c r="N14" s="191"/>
      <c r="O14" s="195"/>
    </row>
    <row r="15" spans="1:19" x14ac:dyDescent="0.25">
      <c r="A15" s="182">
        <v>13</v>
      </c>
      <c r="B15" s="186" t="s">
        <v>42</v>
      </c>
      <c r="C15" s="190"/>
      <c r="D15" s="177"/>
      <c r="E15" s="177"/>
      <c r="F15" s="178"/>
      <c r="G15" s="178"/>
      <c r="H15" s="178"/>
      <c r="I15" s="178"/>
      <c r="J15" s="178"/>
      <c r="K15" s="178"/>
      <c r="L15" s="178"/>
      <c r="M15" s="178"/>
      <c r="N15" s="191"/>
      <c r="O15" s="195"/>
    </row>
    <row r="16" spans="1:19" x14ac:dyDescent="0.25">
      <c r="A16" s="182">
        <v>14</v>
      </c>
      <c r="B16" s="185" t="s">
        <v>11</v>
      </c>
      <c r="C16" s="190"/>
      <c r="D16" s="177"/>
      <c r="E16" s="177"/>
      <c r="F16" s="178"/>
      <c r="G16" s="178"/>
      <c r="H16" s="178"/>
      <c r="I16" s="178"/>
      <c r="J16" s="178"/>
      <c r="K16" s="178"/>
      <c r="L16" s="178"/>
      <c r="M16" s="178"/>
      <c r="N16" s="191"/>
      <c r="O16" s="195"/>
    </row>
    <row r="17" spans="1:15" x14ac:dyDescent="0.25">
      <c r="A17" s="182">
        <v>15</v>
      </c>
      <c r="B17" s="185" t="s">
        <v>12</v>
      </c>
      <c r="C17" s="190"/>
      <c r="D17" s="177"/>
      <c r="E17" s="177"/>
      <c r="F17" s="178"/>
      <c r="G17" s="178"/>
      <c r="H17" s="178"/>
      <c r="I17" s="178"/>
      <c r="J17" s="178"/>
      <c r="K17" s="178"/>
      <c r="L17" s="178"/>
      <c r="M17" s="178"/>
      <c r="N17" s="191"/>
      <c r="O17" s="195"/>
    </row>
    <row r="18" spans="1:15" x14ac:dyDescent="0.25">
      <c r="A18" s="182">
        <v>16</v>
      </c>
      <c r="B18" s="185" t="s">
        <v>13</v>
      </c>
      <c r="C18" s="190"/>
      <c r="D18" s="177"/>
      <c r="E18" s="177"/>
      <c r="F18" s="178"/>
      <c r="G18" s="178"/>
      <c r="H18" s="178"/>
      <c r="I18" s="178"/>
      <c r="J18" s="178"/>
      <c r="K18" s="178"/>
      <c r="L18" s="178"/>
      <c r="M18" s="178"/>
      <c r="N18" s="191"/>
      <c r="O18" s="195"/>
    </row>
    <row r="19" spans="1:15" x14ac:dyDescent="0.25">
      <c r="A19" s="182">
        <v>17</v>
      </c>
      <c r="B19" s="185" t="s">
        <v>14</v>
      </c>
      <c r="C19" s="190"/>
      <c r="D19" s="177"/>
      <c r="E19" s="177"/>
      <c r="F19" s="178"/>
      <c r="G19" s="178"/>
      <c r="H19" s="178"/>
      <c r="I19" s="178"/>
      <c r="J19" s="178"/>
      <c r="K19" s="178"/>
      <c r="L19" s="178"/>
      <c r="M19" s="178"/>
      <c r="N19" s="191"/>
      <c r="O19" s="195"/>
    </row>
    <row r="20" spans="1:15" x14ac:dyDescent="0.25">
      <c r="A20" s="182">
        <v>18</v>
      </c>
      <c r="B20" s="185" t="s">
        <v>15</v>
      </c>
      <c r="C20" s="190"/>
      <c r="D20" s="177"/>
      <c r="E20" s="177"/>
      <c r="F20" s="178"/>
      <c r="G20" s="178"/>
      <c r="H20" s="178"/>
      <c r="I20" s="178"/>
      <c r="J20" s="178"/>
      <c r="K20" s="178"/>
      <c r="L20" s="178"/>
      <c r="M20" s="178"/>
      <c r="N20" s="191"/>
      <c r="O20" s="195"/>
    </row>
    <row r="21" spans="1:15" x14ac:dyDescent="0.25">
      <c r="A21" s="182">
        <v>19</v>
      </c>
      <c r="B21" s="185" t="s">
        <v>16</v>
      </c>
      <c r="C21" s="190"/>
      <c r="D21" s="177"/>
      <c r="E21" s="177"/>
      <c r="F21" s="178"/>
      <c r="G21" s="178"/>
      <c r="H21" s="178"/>
      <c r="I21" s="178"/>
      <c r="J21" s="178"/>
      <c r="K21" s="178"/>
      <c r="L21" s="178"/>
      <c r="M21" s="178"/>
      <c r="N21" s="191"/>
      <c r="O21" s="195"/>
    </row>
    <row r="22" spans="1:15" x14ac:dyDescent="0.25">
      <c r="A22" s="182">
        <v>20</v>
      </c>
      <c r="B22" s="185" t="s">
        <v>17</v>
      </c>
      <c r="C22" s="190"/>
      <c r="D22" s="177"/>
      <c r="E22" s="177"/>
      <c r="F22" s="178"/>
      <c r="G22" s="178"/>
      <c r="H22" s="178"/>
      <c r="I22" s="178"/>
      <c r="J22" s="178"/>
      <c r="K22" s="178"/>
      <c r="L22" s="178"/>
      <c r="M22" s="178"/>
      <c r="N22" s="191"/>
      <c r="O22" s="195"/>
    </row>
    <row r="23" spans="1:15" x14ac:dyDescent="0.25">
      <c r="A23" s="182">
        <v>21</v>
      </c>
      <c r="B23" s="185" t="s">
        <v>18</v>
      </c>
      <c r="C23" s="190"/>
      <c r="D23" s="177"/>
      <c r="E23" s="177"/>
      <c r="F23" s="178"/>
      <c r="G23" s="178"/>
      <c r="H23" s="178"/>
      <c r="I23" s="178"/>
      <c r="J23" s="178"/>
      <c r="K23" s="178"/>
      <c r="L23" s="178"/>
      <c r="M23" s="178"/>
      <c r="N23" s="191"/>
      <c r="O23" s="195"/>
    </row>
    <row r="24" spans="1:15" x14ac:dyDescent="0.25">
      <c r="A24" s="182">
        <v>22</v>
      </c>
      <c r="B24" s="185" t="s">
        <v>19</v>
      </c>
      <c r="C24" s="190"/>
      <c r="D24" s="177"/>
      <c r="E24" s="177"/>
      <c r="F24" s="178"/>
      <c r="G24" s="178"/>
      <c r="H24" s="178"/>
      <c r="I24" s="178"/>
      <c r="J24" s="178"/>
      <c r="K24" s="178"/>
      <c r="L24" s="178"/>
      <c r="M24" s="178"/>
      <c r="N24" s="191"/>
      <c r="O24" s="195"/>
    </row>
    <row r="25" spans="1:15" x14ac:dyDescent="0.25">
      <c r="A25" s="182">
        <v>23</v>
      </c>
      <c r="B25" s="186" t="s">
        <v>43</v>
      </c>
      <c r="C25" s="190"/>
      <c r="D25" s="177"/>
      <c r="E25" s="177"/>
      <c r="F25" s="178"/>
      <c r="G25" s="178"/>
      <c r="H25" s="178"/>
      <c r="I25" s="178"/>
      <c r="J25" s="178"/>
      <c r="K25" s="178"/>
      <c r="L25" s="178"/>
      <c r="M25" s="178"/>
      <c r="N25" s="191"/>
      <c r="O25" s="195"/>
    </row>
    <row r="26" spans="1:15" x14ac:dyDescent="0.25">
      <c r="A26" s="182">
        <v>24</v>
      </c>
      <c r="B26" s="186" t="s">
        <v>44</v>
      </c>
      <c r="C26" s="190"/>
      <c r="D26" s="177"/>
      <c r="E26" s="177"/>
      <c r="F26" s="178"/>
      <c r="G26" s="178"/>
      <c r="H26" s="178"/>
      <c r="I26" s="178"/>
      <c r="J26" s="178"/>
      <c r="K26" s="178"/>
      <c r="L26" s="178"/>
      <c r="M26" s="178"/>
      <c r="N26" s="191"/>
      <c r="O26" s="195"/>
    </row>
    <row r="27" spans="1:15" x14ac:dyDescent="0.25">
      <c r="A27" s="182">
        <v>25</v>
      </c>
      <c r="B27" s="185" t="s">
        <v>20</v>
      </c>
      <c r="C27" s="190"/>
      <c r="D27" s="177"/>
      <c r="E27" s="177"/>
      <c r="F27" s="178"/>
      <c r="G27" s="178"/>
      <c r="H27" s="178"/>
      <c r="I27" s="178"/>
      <c r="J27" s="178"/>
      <c r="K27" s="178"/>
      <c r="L27" s="178"/>
      <c r="M27" s="178"/>
      <c r="N27" s="191"/>
      <c r="O27" s="195"/>
    </row>
    <row r="28" spans="1:15" x14ac:dyDescent="0.25">
      <c r="A28" s="182">
        <v>26</v>
      </c>
      <c r="B28" s="186" t="s">
        <v>45</v>
      </c>
      <c r="C28" s="190"/>
      <c r="D28" s="177"/>
      <c r="E28" s="177"/>
      <c r="F28" s="178"/>
      <c r="G28" s="178"/>
      <c r="H28" s="178"/>
      <c r="I28" s="178"/>
      <c r="J28" s="178"/>
      <c r="K28" s="178"/>
      <c r="L28" s="178"/>
      <c r="M28" s="178"/>
      <c r="N28" s="191"/>
      <c r="O28" s="195"/>
    </row>
    <row r="29" spans="1:15" x14ac:dyDescent="0.25">
      <c r="A29" s="182">
        <v>27</v>
      </c>
      <c r="B29" s="186" t="s">
        <v>46</v>
      </c>
      <c r="C29" s="190"/>
      <c r="D29" s="177"/>
      <c r="E29" s="177"/>
      <c r="F29" s="178"/>
      <c r="G29" s="178"/>
      <c r="H29" s="178"/>
      <c r="I29" s="178"/>
      <c r="J29" s="178"/>
      <c r="K29" s="178"/>
      <c r="L29" s="178"/>
      <c r="M29" s="178"/>
      <c r="N29" s="191"/>
      <c r="O29" s="195"/>
    </row>
    <row r="30" spans="1:15" x14ac:dyDescent="0.25">
      <c r="A30" s="182">
        <v>28</v>
      </c>
      <c r="B30" s="186" t="s">
        <v>47</v>
      </c>
      <c r="C30" s="190"/>
      <c r="D30" s="177"/>
      <c r="E30" s="177"/>
      <c r="F30" s="178"/>
      <c r="G30" s="178"/>
      <c r="H30" s="178"/>
      <c r="I30" s="178"/>
      <c r="J30" s="178"/>
      <c r="K30" s="178"/>
      <c r="L30" s="178"/>
      <c r="M30" s="178"/>
      <c r="N30" s="191"/>
      <c r="O30" s="195"/>
    </row>
    <row r="31" spans="1:15" x14ac:dyDescent="0.25">
      <c r="A31" s="182">
        <v>29</v>
      </c>
      <c r="B31" s="186" t="s">
        <v>48</v>
      </c>
      <c r="C31" s="190"/>
      <c r="D31" s="177"/>
      <c r="E31" s="177"/>
      <c r="F31" s="178"/>
      <c r="G31" s="178"/>
      <c r="H31" s="178"/>
      <c r="I31" s="178"/>
      <c r="J31" s="178"/>
      <c r="K31" s="178"/>
      <c r="L31" s="178"/>
      <c r="M31" s="178"/>
      <c r="N31" s="191"/>
      <c r="O31" s="195"/>
    </row>
    <row r="32" spans="1:15" x14ac:dyDescent="0.25">
      <c r="A32" s="182">
        <v>30</v>
      </c>
      <c r="B32" s="186" t="s">
        <v>50</v>
      </c>
      <c r="C32" s="190">
        <v>12560</v>
      </c>
      <c r="D32" s="177">
        <v>9800</v>
      </c>
      <c r="E32" s="177">
        <v>12760</v>
      </c>
      <c r="F32" s="178">
        <v>12530</v>
      </c>
      <c r="G32" s="178">
        <v>17100</v>
      </c>
      <c r="H32" s="178">
        <v>12500</v>
      </c>
      <c r="I32" s="178">
        <v>11720</v>
      </c>
      <c r="J32" s="178">
        <v>17470</v>
      </c>
      <c r="K32" s="178">
        <v>12320</v>
      </c>
      <c r="L32" s="178">
        <v>14660</v>
      </c>
      <c r="M32" s="178"/>
      <c r="N32" s="191"/>
      <c r="O32" s="195">
        <f>SUM(Tabla911[[#This Row],[Gener]:[Desembre]])</f>
        <v>133420</v>
      </c>
    </row>
    <row r="33" spans="1:15" x14ac:dyDescent="0.25">
      <c r="A33" s="182">
        <v>31</v>
      </c>
      <c r="B33" s="186" t="s">
        <v>51</v>
      </c>
      <c r="C33" s="190"/>
      <c r="D33" s="177"/>
      <c r="E33" s="177"/>
      <c r="F33" s="178"/>
      <c r="G33" s="178"/>
      <c r="H33" s="178"/>
      <c r="I33" s="178"/>
      <c r="J33" s="178"/>
      <c r="K33" s="178"/>
      <c r="L33" s="178"/>
      <c r="M33" s="178"/>
      <c r="N33" s="191"/>
      <c r="O33" s="195"/>
    </row>
    <row r="34" spans="1:15" x14ac:dyDescent="0.25">
      <c r="A34" s="182">
        <v>32</v>
      </c>
      <c r="B34" s="186" t="s">
        <v>52</v>
      </c>
      <c r="C34" s="190"/>
      <c r="D34" s="177"/>
      <c r="E34" s="177"/>
      <c r="F34" s="178"/>
      <c r="G34" s="178"/>
      <c r="H34" s="178"/>
      <c r="I34" s="178"/>
      <c r="J34" s="178"/>
      <c r="K34" s="178"/>
      <c r="L34" s="178"/>
      <c r="M34" s="178"/>
      <c r="N34" s="191"/>
      <c r="O34" s="195"/>
    </row>
    <row r="35" spans="1:15" x14ac:dyDescent="0.25">
      <c r="A35" s="182">
        <v>33</v>
      </c>
      <c r="B35" s="185" t="s">
        <v>21</v>
      </c>
      <c r="C35" s="190"/>
      <c r="D35" s="177"/>
      <c r="E35" s="177"/>
      <c r="F35" s="178"/>
      <c r="G35" s="178"/>
      <c r="H35" s="178"/>
      <c r="I35" s="226"/>
      <c r="J35" s="226"/>
      <c r="K35" s="178"/>
      <c r="L35" s="178"/>
      <c r="M35" s="178"/>
      <c r="N35" s="191"/>
      <c r="O35" s="195"/>
    </row>
    <row r="36" spans="1:15" x14ac:dyDescent="0.25">
      <c r="A36" s="182">
        <v>34</v>
      </c>
      <c r="B36" s="185" t="s">
        <v>22</v>
      </c>
      <c r="C36" s="190"/>
      <c r="D36" s="177"/>
      <c r="E36" s="177"/>
      <c r="F36" s="178"/>
      <c r="G36" s="178"/>
      <c r="H36" s="178"/>
      <c r="I36" s="178"/>
      <c r="J36" s="178"/>
      <c r="K36" s="178"/>
      <c r="L36" s="178"/>
      <c r="M36" s="178"/>
      <c r="N36" s="191"/>
      <c r="O36" s="195"/>
    </row>
    <row r="37" spans="1:15" x14ac:dyDescent="0.25">
      <c r="A37" s="182">
        <v>35</v>
      </c>
      <c r="B37" s="185" t="s">
        <v>23</v>
      </c>
      <c r="C37" s="190"/>
      <c r="D37" s="177"/>
      <c r="E37" s="177"/>
      <c r="F37" s="178"/>
      <c r="G37" s="178"/>
      <c r="H37" s="178"/>
      <c r="I37" s="178"/>
      <c r="J37" s="178"/>
      <c r="K37" s="178"/>
      <c r="L37" s="178"/>
      <c r="M37" s="178"/>
      <c r="N37" s="191"/>
      <c r="O37" s="195"/>
    </row>
    <row r="38" spans="1:15" x14ac:dyDescent="0.25">
      <c r="A38" s="182">
        <v>36</v>
      </c>
      <c r="B38" s="185" t="s">
        <v>24</v>
      </c>
      <c r="C38" s="190"/>
      <c r="D38" s="177"/>
      <c r="E38" s="177"/>
      <c r="F38" s="178"/>
      <c r="G38" s="178"/>
      <c r="H38" s="178"/>
      <c r="I38" s="178"/>
      <c r="J38" s="178"/>
      <c r="K38" s="178"/>
      <c r="L38" s="178"/>
      <c r="M38" s="178"/>
      <c r="N38" s="191"/>
      <c r="O38" s="195"/>
    </row>
    <row r="39" spans="1:15" x14ac:dyDescent="0.25">
      <c r="A39" s="182">
        <v>37</v>
      </c>
      <c r="B39" s="185" t="s">
        <v>25</v>
      </c>
      <c r="C39" s="190">
        <v>3160</v>
      </c>
      <c r="D39" s="177">
        <v>2580</v>
      </c>
      <c r="E39" s="177">
        <v>3240</v>
      </c>
      <c r="F39" s="178">
        <v>3100</v>
      </c>
      <c r="G39" s="178">
        <v>3740</v>
      </c>
      <c r="H39" s="178">
        <v>3040</v>
      </c>
      <c r="I39" s="178">
        <v>4660</v>
      </c>
      <c r="J39" s="178">
        <v>2940</v>
      </c>
      <c r="K39" s="178">
        <v>1520</v>
      </c>
      <c r="L39" s="178">
        <v>2140</v>
      </c>
      <c r="M39" s="178"/>
      <c r="N39" s="250"/>
      <c r="O39" s="195">
        <f>SUM(Tabla911[[#This Row],[Gener]:[Desembre]])</f>
        <v>30120</v>
      </c>
    </row>
    <row r="40" spans="1:15" x14ac:dyDescent="0.25">
      <c r="A40" s="182">
        <v>38</v>
      </c>
      <c r="B40" s="185" t="s">
        <v>5</v>
      </c>
      <c r="C40" s="190"/>
      <c r="D40" s="177"/>
      <c r="E40" s="177"/>
      <c r="F40" s="178"/>
      <c r="G40" s="178"/>
      <c r="H40" s="178"/>
      <c r="I40" s="178"/>
      <c r="J40" s="178"/>
      <c r="K40" s="178"/>
      <c r="L40" s="178"/>
      <c r="M40" s="178"/>
      <c r="N40" s="191"/>
      <c r="O40" s="195"/>
    </row>
    <row r="41" spans="1:15" x14ac:dyDescent="0.25">
      <c r="A41" s="182">
        <v>39</v>
      </c>
      <c r="B41" s="185" t="s">
        <v>6</v>
      </c>
      <c r="C41" s="190"/>
      <c r="D41" s="177"/>
      <c r="E41" s="177"/>
      <c r="F41" s="178"/>
      <c r="G41" s="178"/>
      <c r="H41" s="178"/>
      <c r="I41" s="178"/>
      <c r="J41" s="178"/>
      <c r="K41" s="178"/>
      <c r="L41" s="178"/>
      <c r="M41" s="178"/>
      <c r="N41" s="191"/>
      <c r="O41" s="195"/>
    </row>
    <row r="42" spans="1:15" x14ac:dyDescent="0.25">
      <c r="A42" s="182">
        <v>40</v>
      </c>
      <c r="B42" s="185" t="s">
        <v>8</v>
      </c>
      <c r="C42" s="190"/>
      <c r="D42" s="177"/>
      <c r="E42" s="177"/>
      <c r="F42" s="178"/>
      <c r="G42" s="178"/>
      <c r="H42" s="178"/>
      <c r="I42" s="226"/>
      <c r="J42" s="226"/>
      <c r="K42" s="178"/>
      <c r="L42" s="178"/>
      <c r="M42" s="178"/>
      <c r="N42" s="191"/>
      <c r="O42" s="195"/>
    </row>
    <row r="43" spans="1:15" ht="15.75" thickBot="1" x14ac:dyDescent="0.3">
      <c r="A43" s="183">
        <v>41</v>
      </c>
      <c r="B43" s="187" t="s">
        <v>49</v>
      </c>
      <c r="C43" s="192"/>
      <c r="D43" s="179"/>
      <c r="E43" s="179"/>
      <c r="F43" s="180"/>
      <c r="G43" s="180"/>
      <c r="H43" s="180"/>
      <c r="I43" s="180"/>
      <c r="J43" s="180"/>
      <c r="K43" s="180"/>
      <c r="L43" s="180"/>
      <c r="M43" s="180"/>
      <c r="N43" s="193"/>
      <c r="O43" s="196"/>
    </row>
    <row r="44" spans="1:15" s="61" customFormat="1" ht="15.75" thickBot="1" x14ac:dyDescent="0.3">
      <c r="A44" s="318"/>
      <c r="B44" s="315" t="s">
        <v>135</v>
      </c>
      <c r="C44" s="173">
        <f t="shared" ref="C44:N44" si="0">SUBTOTAL(109,C4:C43)</f>
        <v>44180</v>
      </c>
      <c r="D44" s="174">
        <f t="shared" si="0"/>
        <v>45600</v>
      </c>
      <c r="E44" s="174">
        <f t="shared" si="0"/>
        <v>59780</v>
      </c>
      <c r="F44" s="174">
        <f t="shared" si="0"/>
        <v>56270</v>
      </c>
      <c r="G44" s="174">
        <f t="shared" si="0"/>
        <v>64820</v>
      </c>
      <c r="H44" s="174">
        <f t="shared" si="0"/>
        <v>56480</v>
      </c>
      <c r="I44" s="174">
        <f t="shared" si="0"/>
        <v>51660</v>
      </c>
      <c r="J44" s="174">
        <f t="shared" si="0"/>
        <v>58790</v>
      </c>
      <c r="K44" s="174">
        <f t="shared" si="0"/>
        <v>44720</v>
      </c>
      <c r="L44" s="174">
        <f t="shared" si="0"/>
        <v>48060</v>
      </c>
      <c r="M44" s="174">
        <f t="shared" si="0"/>
        <v>0</v>
      </c>
      <c r="N44" s="174">
        <f t="shared" si="0"/>
        <v>0</v>
      </c>
      <c r="O44" s="129">
        <f>SUBTOTAL(109,O4:O43)</f>
        <v>530360</v>
      </c>
    </row>
    <row r="45" spans="1:15" ht="15.75" thickBot="1" x14ac:dyDescent="0.3">
      <c r="A45" s="319"/>
      <c r="B45" s="316" t="s">
        <v>124</v>
      </c>
      <c r="C45" s="30">
        <v>38400</v>
      </c>
      <c r="D45" s="31">
        <v>45880</v>
      </c>
      <c r="E45" s="31">
        <v>46320</v>
      </c>
      <c r="F45" s="31">
        <v>62140</v>
      </c>
      <c r="G45" s="31">
        <v>79640</v>
      </c>
      <c r="H45" s="31">
        <v>76700</v>
      </c>
      <c r="I45" s="31">
        <v>58280</v>
      </c>
      <c r="J45" s="31">
        <v>56780</v>
      </c>
      <c r="K45" s="31">
        <v>54120</v>
      </c>
      <c r="L45" s="31">
        <v>53468</v>
      </c>
      <c r="M45" s="31">
        <v>62300</v>
      </c>
      <c r="N45" s="32">
        <v>50900</v>
      </c>
      <c r="O45" s="33">
        <f>SUM(Tabla911[[#This Row],[Gener]:[Desembre]])</f>
        <v>684928</v>
      </c>
    </row>
    <row r="46" spans="1:15" ht="15.75" thickBot="1" x14ac:dyDescent="0.3">
      <c r="A46" s="320"/>
      <c r="B46" s="317" t="s">
        <v>58</v>
      </c>
      <c r="C46" s="141">
        <f t="shared" ref="C46:O46" si="1">(C44/C45)-1</f>
        <v>0.15052083333333344</v>
      </c>
      <c r="D46" s="142">
        <f t="shared" si="1"/>
        <v>-6.1028770706189617E-3</v>
      </c>
      <c r="E46" s="142">
        <f t="shared" si="1"/>
        <v>0.29058721934369602</v>
      </c>
      <c r="F46" s="142">
        <f t="shared" si="1"/>
        <v>-9.4464113292565211E-2</v>
      </c>
      <c r="G46" s="142">
        <f t="shared" si="1"/>
        <v>-0.18608739326971369</v>
      </c>
      <c r="H46" s="142">
        <f t="shared" si="1"/>
        <v>-0.26362451108213825</v>
      </c>
      <c r="I46" s="142">
        <f t="shared" si="1"/>
        <v>-0.1135895676046671</v>
      </c>
      <c r="J46" s="142">
        <f t="shared" si="1"/>
        <v>3.5399788657978215E-2</v>
      </c>
      <c r="K46" s="142">
        <f t="shared" si="1"/>
        <v>-0.17368810051736883</v>
      </c>
      <c r="L46" s="142">
        <f t="shared" si="1"/>
        <v>-0.10114460986010321</v>
      </c>
      <c r="M46" s="142">
        <f t="shared" si="1"/>
        <v>-1</v>
      </c>
      <c r="N46" s="142">
        <f t="shared" si="1"/>
        <v>-1</v>
      </c>
      <c r="O46" s="243">
        <f t="shared" si="1"/>
        <v>-0.22567043543262943</v>
      </c>
    </row>
    <row r="51" spans="16:16" x14ac:dyDescent="0.25">
      <c r="P51" s="65"/>
    </row>
  </sheetData>
  <sheetProtection sheet="1" objects="1" scenarios="1"/>
  <conditionalFormatting sqref="C46:O46">
    <cfRule type="cellIs" dxfId="40" priority="2" operator="lessThan">
      <formula>0</formula>
    </cfRule>
  </conditionalFormatting>
  <conditionalFormatting sqref="C46:O46">
    <cfRule type="cellIs" dxfId="39" priority="1" operator="lessThan">
      <formula>0</formula>
    </cfRule>
  </conditionalFormatting>
  <pageMargins left="0.70866141732283472" right="0.70866141732283472" top="0.62" bottom="0.6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90" zoomScaleNormal="90" workbookViewId="0">
      <pane xSplit="2" topLeftCell="C1" activePane="topRight" state="frozen"/>
      <selection activeCell="B45" sqref="B45"/>
      <selection pane="topRight" activeCell="K16" sqref="K16"/>
    </sheetView>
  </sheetViews>
  <sheetFormatPr baseColWidth="10" defaultColWidth="11.5703125" defaultRowHeight="15" x14ac:dyDescent="0.25"/>
  <cols>
    <col min="1" max="1" width="8.7109375" style="67" customWidth="1"/>
    <col min="2" max="2" width="25.85546875" style="70" bestFit="1" customWidth="1"/>
    <col min="3" max="14" width="10.7109375" style="71" customWidth="1"/>
    <col min="15" max="15" width="10.7109375" style="72" customWidth="1"/>
    <col min="16" max="1021" width="17" style="67" customWidth="1"/>
    <col min="1022" max="16384" width="11.5703125" style="67"/>
  </cols>
  <sheetData>
    <row r="1" spans="1:18" ht="15.75" x14ac:dyDescent="0.25">
      <c r="B1" s="66" t="s">
        <v>142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8" ht="15.75" thickBot="1" x14ac:dyDescent="0.3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8" ht="15.75" thickBot="1" x14ac:dyDescent="0.3">
      <c r="A3" s="208" t="s">
        <v>59</v>
      </c>
      <c r="B3" s="135" t="s">
        <v>57</v>
      </c>
      <c r="C3" s="213" t="s">
        <v>26</v>
      </c>
      <c r="D3" s="197" t="s">
        <v>27</v>
      </c>
      <c r="E3" s="197" t="s">
        <v>28</v>
      </c>
      <c r="F3" s="197" t="s">
        <v>29</v>
      </c>
      <c r="G3" s="197" t="s">
        <v>30</v>
      </c>
      <c r="H3" s="197" t="s">
        <v>31</v>
      </c>
      <c r="I3" s="197" t="s">
        <v>32</v>
      </c>
      <c r="J3" s="197" t="s">
        <v>33</v>
      </c>
      <c r="K3" s="197" t="s">
        <v>34</v>
      </c>
      <c r="L3" s="197" t="s">
        <v>35</v>
      </c>
      <c r="M3" s="197" t="s">
        <v>36</v>
      </c>
      <c r="N3" s="198" t="s">
        <v>37</v>
      </c>
      <c r="O3" s="136" t="s">
        <v>38</v>
      </c>
    </row>
    <row r="4" spans="1:18" x14ac:dyDescent="0.25">
      <c r="A4" s="209">
        <v>1</v>
      </c>
      <c r="B4" s="217" t="s">
        <v>39</v>
      </c>
      <c r="C4" s="214">
        <v>9180</v>
      </c>
      <c r="D4" s="199">
        <v>10620</v>
      </c>
      <c r="E4" s="199">
        <v>12180</v>
      </c>
      <c r="F4" s="200">
        <v>11480</v>
      </c>
      <c r="G4" s="200">
        <v>11760</v>
      </c>
      <c r="H4" s="200">
        <v>10140</v>
      </c>
      <c r="I4" s="200">
        <v>17440</v>
      </c>
      <c r="J4" s="200">
        <v>12300</v>
      </c>
      <c r="K4" s="200">
        <v>14380</v>
      </c>
      <c r="L4" s="199">
        <v>15480</v>
      </c>
      <c r="M4" s="200"/>
      <c r="N4" s="200"/>
      <c r="O4" s="201">
        <f>SUM(Tabla91112[[#This Row],[Gener]:[Desembre]])</f>
        <v>124960</v>
      </c>
      <c r="Q4" s="305"/>
      <c r="R4" s="306"/>
    </row>
    <row r="5" spans="1:18" x14ac:dyDescent="0.25">
      <c r="A5" s="210">
        <v>2</v>
      </c>
      <c r="B5" s="218" t="s">
        <v>0</v>
      </c>
      <c r="C5" s="215"/>
      <c r="D5" s="202"/>
      <c r="E5" s="202"/>
      <c r="F5" s="203"/>
      <c r="G5" s="203"/>
      <c r="H5" s="203"/>
      <c r="I5" s="203"/>
      <c r="J5" s="203"/>
      <c r="K5" s="203"/>
      <c r="L5" s="202"/>
      <c r="M5" s="203"/>
      <c r="N5" s="203"/>
      <c r="O5" s="204"/>
      <c r="Q5" s="305"/>
      <c r="R5" s="306"/>
    </row>
    <row r="6" spans="1:18" x14ac:dyDescent="0.25">
      <c r="A6" s="210">
        <v>3</v>
      </c>
      <c r="B6" s="218" t="s">
        <v>1</v>
      </c>
      <c r="C6" s="215"/>
      <c r="D6" s="202"/>
      <c r="E6" s="202"/>
      <c r="F6" s="203"/>
      <c r="G6" s="203"/>
      <c r="H6" s="203"/>
      <c r="I6" s="203"/>
      <c r="J6" s="203"/>
      <c r="K6" s="203"/>
      <c r="L6" s="202"/>
      <c r="M6" s="203"/>
      <c r="N6" s="203"/>
      <c r="O6" s="204"/>
      <c r="Q6" s="305"/>
      <c r="R6" s="306"/>
    </row>
    <row r="7" spans="1:18" x14ac:dyDescent="0.25">
      <c r="A7" s="210">
        <v>4</v>
      </c>
      <c r="B7" s="218" t="s">
        <v>2</v>
      </c>
      <c r="C7" s="215"/>
      <c r="D7" s="202"/>
      <c r="E7" s="202"/>
      <c r="F7" s="203"/>
      <c r="G7" s="203"/>
      <c r="H7" s="203"/>
      <c r="I7" s="203"/>
      <c r="J7" s="203"/>
      <c r="K7" s="203"/>
      <c r="L7" s="202"/>
      <c r="M7" s="203"/>
      <c r="N7" s="203"/>
      <c r="O7" s="204"/>
      <c r="Q7" s="305"/>
      <c r="R7" s="306"/>
    </row>
    <row r="8" spans="1:18" x14ac:dyDescent="0.25">
      <c r="A8" s="210">
        <v>5</v>
      </c>
      <c r="B8" s="218" t="s">
        <v>3</v>
      </c>
      <c r="C8" s="215"/>
      <c r="D8" s="202"/>
      <c r="E8" s="202"/>
      <c r="F8" s="203"/>
      <c r="G8" s="203"/>
      <c r="H8" s="203"/>
      <c r="I8" s="203"/>
      <c r="J8" s="203"/>
      <c r="K8" s="203"/>
      <c r="L8" s="202"/>
      <c r="M8" s="203"/>
      <c r="N8" s="203"/>
      <c r="O8" s="204"/>
      <c r="Q8" s="305"/>
      <c r="R8" s="306"/>
    </row>
    <row r="9" spans="1:18" x14ac:dyDescent="0.25">
      <c r="A9" s="210">
        <v>6</v>
      </c>
      <c r="B9" s="218" t="s">
        <v>4</v>
      </c>
      <c r="C9" s="215"/>
      <c r="D9" s="202"/>
      <c r="E9" s="202"/>
      <c r="F9" s="203"/>
      <c r="G9" s="203"/>
      <c r="H9" s="203"/>
      <c r="I9" s="203"/>
      <c r="J9" s="203"/>
      <c r="K9" s="203"/>
      <c r="L9" s="202"/>
      <c r="M9" s="203"/>
      <c r="N9" s="203"/>
      <c r="O9" s="204"/>
      <c r="Q9" s="308"/>
    </row>
    <row r="10" spans="1:18" x14ac:dyDescent="0.25">
      <c r="A10" s="210">
        <v>8</v>
      </c>
      <c r="B10" s="218" t="s">
        <v>7</v>
      </c>
      <c r="C10" s="215"/>
      <c r="D10" s="202"/>
      <c r="E10" s="202"/>
      <c r="F10" s="203"/>
      <c r="G10" s="203"/>
      <c r="H10" s="203"/>
      <c r="I10" s="203"/>
      <c r="J10" s="203"/>
      <c r="K10" s="203"/>
      <c r="L10" s="202"/>
      <c r="M10" s="203"/>
      <c r="N10" s="203"/>
      <c r="O10" s="204"/>
    </row>
    <row r="11" spans="1:18" x14ac:dyDescent="0.25">
      <c r="A11" s="210">
        <v>9</v>
      </c>
      <c r="B11" s="219" t="s">
        <v>40</v>
      </c>
      <c r="C11" s="215"/>
      <c r="D11" s="202"/>
      <c r="E11" s="202"/>
      <c r="F11" s="203"/>
      <c r="G11" s="203"/>
      <c r="H11" s="203"/>
      <c r="I11" s="203"/>
      <c r="J11" s="203"/>
      <c r="K11" s="203"/>
      <c r="L11" s="202"/>
      <c r="M11" s="203"/>
      <c r="N11" s="203"/>
      <c r="O11" s="204"/>
    </row>
    <row r="12" spans="1:18" x14ac:dyDescent="0.25">
      <c r="A12" s="210">
        <v>10</v>
      </c>
      <c r="B12" s="219" t="s">
        <v>41</v>
      </c>
      <c r="C12" s="215"/>
      <c r="D12" s="202"/>
      <c r="E12" s="202"/>
      <c r="F12" s="203"/>
      <c r="G12" s="203"/>
      <c r="H12" s="203"/>
      <c r="I12" s="203"/>
      <c r="J12" s="203"/>
      <c r="K12" s="203"/>
      <c r="L12" s="202"/>
      <c r="M12" s="203"/>
      <c r="N12" s="203"/>
      <c r="O12" s="204"/>
    </row>
    <row r="13" spans="1:18" x14ac:dyDescent="0.25">
      <c r="A13" s="210">
        <v>11</v>
      </c>
      <c r="B13" s="218" t="s">
        <v>9</v>
      </c>
      <c r="C13" s="215"/>
      <c r="D13" s="202"/>
      <c r="E13" s="202"/>
      <c r="F13" s="203"/>
      <c r="G13" s="203"/>
      <c r="H13" s="203"/>
      <c r="I13" s="203"/>
      <c r="J13" s="203"/>
      <c r="K13" s="203"/>
      <c r="L13" s="202"/>
      <c r="M13" s="203"/>
      <c r="N13" s="203"/>
      <c r="O13" s="204"/>
    </row>
    <row r="14" spans="1:18" x14ac:dyDescent="0.25">
      <c r="A14" s="210">
        <v>12</v>
      </c>
      <c r="B14" s="218" t="s">
        <v>10</v>
      </c>
      <c r="C14" s="215"/>
      <c r="D14" s="202"/>
      <c r="E14" s="202"/>
      <c r="F14" s="203"/>
      <c r="G14" s="203"/>
      <c r="H14" s="203"/>
      <c r="I14" s="203"/>
      <c r="J14" s="203"/>
      <c r="K14" s="203"/>
      <c r="L14" s="202"/>
      <c r="M14" s="203"/>
      <c r="N14" s="203"/>
      <c r="O14" s="204"/>
    </row>
    <row r="15" spans="1:18" x14ac:dyDescent="0.25">
      <c r="A15" s="210">
        <v>13</v>
      </c>
      <c r="B15" s="219" t="s">
        <v>42</v>
      </c>
      <c r="C15" s="215"/>
      <c r="D15" s="202"/>
      <c r="E15" s="202"/>
      <c r="F15" s="203"/>
      <c r="G15" s="203"/>
      <c r="H15" s="203"/>
      <c r="I15" s="203"/>
      <c r="J15" s="203"/>
      <c r="K15" s="203"/>
      <c r="L15" s="202"/>
      <c r="M15" s="203"/>
      <c r="N15" s="203"/>
      <c r="O15" s="204"/>
    </row>
    <row r="16" spans="1:18" x14ac:dyDescent="0.25">
      <c r="A16" s="210">
        <v>14</v>
      </c>
      <c r="B16" s="218" t="s">
        <v>11</v>
      </c>
      <c r="C16" s="215"/>
      <c r="D16" s="202"/>
      <c r="E16" s="202"/>
      <c r="F16" s="203"/>
      <c r="G16" s="203"/>
      <c r="H16" s="203"/>
      <c r="I16" s="203"/>
      <c r="J16" s="203"/>
      <c r="K16" s="203"/>
      <c r="L16" s="202"/>
      <c r="M16" s="203"/>
      <c r="N16" s="203"/>
      <c r="O16" s="204"/>
    </row>
    <row r="17" spans="1:15" x14ac:dyDescent="0.25">
      <c r="A17" s="210">
        <v>15</v>
      </c>
      <c r="B17" s="218" t="s">
        <v>12</v>
      </c>
      <c r="C17" s="215"/>
      <c r="D17" s="202"/>
      <c r="E17" s="202"/>
      <c r="F17" s="203"/>
      <c r="G17" s="203"/>
      <c r="H17" s="203"/>
      <c r="I17" s="203"/>
      <c r="J17" s="203"/>
      <c r="K17" s="203"/>
      <c r="L17" s="202"/>
      <c r="M17" s="203"/>
      <c r="N17" s="203"/>
      <c r="O17" s="204"/>
    </row>
    <row r="18" spans="1:15" x14ac:dyDescent="0.25">
      <c r="A18" s="210">
        <v>16</v>
      </c>
      <c r="B18" s="218" t="s">
        <v>13</v>
      </c>
      <c r="C18" s="215"/>
      <c r="D18" s="202"/>
      <c r="E18" s="202"/>
      <c r="F18" s="203"/>
      <c r="G18" s="203"/>
      <c r="H18" s="203"/>
      <c r="I18" s="203"/>
      <c r="J18" s="203"/>
      <c r="K18" s="203"/>
      <c r="L18" s="202"/>
      <c r="M18" s="203"/>
      <c r="N18" s="203"/>
      <c r="O18" s="204"/>
    </row>
    <row r="19" spans="1:15" x14ac:dyDescent="0.25">
      <c r="A19" s="210">
        <v>17</v>
      </c>
      <c r="B19" s="218" t="s">
        <v>14</v>
      </c>
      <c r="C19" s="215"/>
      <c r="D19" s="202"/>
      <c r="E19" s="202"/>
      <c r="F19" s="203"/>
      <c r="G19" s="203"/>
      <c r="H19" s="203"/>
      <c r="I19" s="203"/>
      <c r="J19" s="203"/>
      <c r="K19" s="203"/>
      <c r="L19" s="202"/>
      <c r="M19" s="203"/>
      <c r="N19" s="203"/>
      <c r="O19" s="204"/>
    </row>
    <row r="20" spans="1:15" x14ac:dyDescent="0.25">
      <c r="A20" s="210">
        <v>18</v>
      </c>
      <c r="B20" s="218" t="s">
        <v>15</v>
      </c>
      <c r="C20" s="215"/>
      <c r="D20" s="202"/>
      <c r="E20" s="202"/>
      <c r="F20" s="203"/>
      <c r="G20" s="203"/>
      <c r="H20" s="203"/>
      <c r="I20" s="203"/>
      <c r="J20" s="203"/>
      <c r="K20" s="203"/>
      <c r="L20" s="202"/>
      <c r="M20" s="203"/>
      <c r="N20" s="203"/>
      <c r="O20" s="204"/>
    </row>
    <row r="21" spans="1:15" x14ac:dyDescent="0.25">
      <c r="A21" s="210">
        <v>19</v>
      </c>
      <c r="B21" s="218" t="s">
        <v>16</v>
      </c>
      <c r="C21" s="215"/>
      <c r="D21" s="202"/>
      <c r="E21" s="202"/>
      <c r="F21" s="203"/>
      <c r="G21" s="203"/>
      <c r="H21" s="203"/>
      <c r="I21" s="203"/>
      <c r="J21" s="203"/>
      <c r="K21" s="203"/>
      <c r="L21" s="202"/>
      <c r="M21" s="203"/>
      <c r="N21" s="203"/>
      <c r="O21" s="204"/>
    </row>
    <row r="22" spans="1:15" x14ac:dyDescent="0.25">
      <c r="A22" s="210">
        <v>20</v>
      </c>
      <c r="B22" s="218" t="s">
        <v>17</v>
      </c>
      <c r="C22" s="215"/>
      <c r="D22" s="202"/>
      <c r="E22" s="202"/>
      <c r="F22" s="203"/>
      <c r="G22" s="203"/>
      <c r="H22" s="203"/>
      <c r="I22" s="203"/>
      <c r="J22" s="203"/>
      <c r="K22" s="203"/>
      <c r="L22" s="202"/>
      <c r="M22" s="203"/>
      <c r="N22" s="203"/>
      <c r="O22" s="204"/>
    </row>
    <row r="23" spans="1:15" x14ac:dyDescent="0.25">
      <c r="A23" s="210">
        <v>21</v>
      </c>
      <c r="B23" s="218" t="s">
        <v>18</v>
      </c>
      <c r="C23" s="215"/>
      <c r="D23" s="202"/>
      <c r="E23" s="202"/>
      <c r="F23" s="203"/>
      <c r="G23" s="203"/>
      <c r="H23" s="203"/>
      <c r="I23" s="203"/>
      <c r="J23" s="203"/>
      <c r="K23" s="203"/>
      <c r="L23" s="202"/>
      <c r="M23" s="203"/>
      <c r="N23" s="203"/>
      <c r="O23" s="204"/>
    </row>
    <row r="24" spans="1:15" x14ac:dyDescent="0.25">
      <c r="A24" s="210">
        <v>22</v>
      </c>
      <c r="B24" s="218" t="s">
        <v>19</v>
      </c>
      <c r="C24" s="215"/>
      <c r="D24" s="202"/>
      <c r="E24" s="202"/>
      <c r="F24" s="203"/>
      <c r="G24" s="203"/>
      <c r="H24" s="203"/>
      <c r="I24" s="203"/>
      <c r="J24" s="203"/>
      <c r="K24" s="203"/>
      <c r="L24" s="202"/>
      <c r="M24" s="203"/>
      <c r="N24" s="203"/>
      <c r="O24" s="204"/>
    </row>
    <row r="25" spans="1:15" x14ac:dyDescent="0.25">
      <c r="A25" s="210">
        <v>23</v>
      </c>
      <c r="B25" s="219" t="s">
        <v>43</v>
      </c>
      <c r="C25" s="215"/>
      <c r="D25" s="202"/>
      <c r="E25" s="202"/>
      <c r="F25" s="203"/>
      <c r="G25" s="203"/>
      <c r="H25" s="203"/>
      <c r="I25" s="203"/>
      <c r="J25" s="203"/>
      <c r="K25" s="203"/>
      <c r="L25" s="202"/>
      <c r="M25" s="203"/>
      <c r="N25" s="203"/>
      <c r="O25" s="204"/>
    </row>
    <row r="26" spans="1:15" x14ac:dyDescent="0.25">
      <c r="A26" s="210">
        <v>24</v>
      </c>
      <c r="B26" s="219" t="s">
        <v>44</v>
      </c>
      <c r="C26" s="215">
        <v>3860</v>
      </c>
      <c r="D26" s="202">
        <v>2950</v>
      </c>
      <c r="E26" s="202">
        <v>3660</v>
      </c>
      <c r="F26" s="203">
        <v>3980</v>
      </c>
      <c r="G26" s="203">
        <v>6040</v>
      </c>
      <c r="H26" s="203">
        <v>6080</v>
      </c>
      <c r="I26" s="203">
        <v>1580</v>
      </c>
      <c r="J26" s="203">
        <v>5440</v>
      </c>
      <c r="K26" s="203">
        <v>6620</v>
      </c>
      <c r="L26" s="202">
        <v>3620</v>
      </c>
      <c r="M26" s="203"/>
      <c r="N26" s="203"/>
      <c r="O26" s="204">
        <f>SUM(Tabla91112[[#This Row],[Gener]:[Desembre]])</f>
        <v>43830</v>
      </c>
    </row>
    <row r="27" spans="1:15" x14ac:dyDescent="0.25">
      <c r="A27" s="210">
        <v>25</v>
      </c>
      <c r="B27" s="218" t="s">
        <v>20</v>
      </c>
      <c r="C27" s="215"/>
      <c r="D27" s="202"/>
      <c r="E27" s="202"/>
      <c r="F27" s="203"/>
      <c r="G27" s="203"/>
      <c r="H27" s="203"/>
      <c r="I27" s="203"/>
      <c r="J27" s="203"/>
      <c r="K27" s="203"/>
      <c r="L27" s="202"/>
      <c r="M27" s="203"/>
      <c r="N27" s="203"/>
      <c r="O27" s="204"/>
    </row>
    <row r="28" spans="1:15" x14ac:dyDescent="0.25">
      <c r="A28" s="210">
        <v>26</v>
      </c>
      <c r="B28" s="219" t="s">
        <v>45</v>
      </c>
      <c r="C28" s="215"/>
      <c r="D28" s="202"/>
      <c r="E28" s="202"/>
      <c r="F28" s="203"/>
      <c r="G28" s="203"/>
      <c r="H28" s="203"/>
      <c r="I28" s="203"/>
      <c r="J28" s="227"/>
      <c r="K28" s="203"/>
      <c r="L28" s="202"/>
      <c r="M28" s="203"/>
      <c r="N28" s="203"/>
      <c r="O28" s="204"/>
    </row>
    <row r="29" spans="1:15" x14ac:dyDescent="0.25">
      <c r="A29" s="210">
        <v>27</v>
      </c>
      <c r="B29" s="219" t="s">
        <v>46</v>
      </c>
      <c r="C29" s="215"/>
      <c r="D29" s="202"/>
      <c r="E29" s="202"/>
      <c r="F29" s="203"/>
      <c r="G29" s="203"/>
      <c r="H29" s="203"/>
      <c r="I29" s="203"/>
      <c r="J29" s="203"/>
      <c r="K29" s="203"/>
      <c r="L29" s="202"/>
      <c r="M29" s="203"/>
      <c r="N29" s="203"/>
      <c r="O29" s="204"/>
    </row>
    <row r="30" spans="1:15" x14ac:dyDescent="0.25">
      <c r="A30" s="210">
        <v>28</v>
      </c>
      <c r="B30" s="219" t="s">
        <v>47</v>
      </c>
      <c r="C30" s="215"/>
      <c r="D30" s="202"/>
      <c r="E30" s="202"/>
      <c r="F30" s="203"/>
      <c r="G30" s="203"/>
      <c r="H30" s="203"/>
      <c r="I30" s="203"/>
      <c r="J30" s="203"/>
      <c r="K30" s="203"/>
      <c r="L30" s="202"/>
      <c r="M30" s="203"/>
      <c r="N30" s="203"/>
      <c r="O30" s="204"/>
    </row>
    <row r="31" spans="1:15" x14ac:dyDescent="0.25">
      <c r="A31" s="210">
        <v>29</v>
      </c>
      <c r="B31" s="219" t="s">
        <v>48</v>
      </c>
      <c r="C31" s="215"/>
      <c r="D31" s="202"/>
      <c r="E31" s="202"/>
      <c r="F31" s="203"/>
      <c r="G31" s="203"/>
      <c r="H31" s="203"/>
      <c r="I31" s="203"/>
      <c r="J31" s="203"/>
      <c r="K31" s="203"/>
      <c r="L31" s="202"/>
      <c r="M31" s="203"/>
      <c r="N31" s="203"/>
      <c r="O31" s="204"/>
    </row>
    <row r="32" spans="1:15" x14ac:dyDescent="0.25">
      <c r="A32" s="210">
        <v>30</v>
      </c>
      <c r="B32" s="219" t="s">
        <v>50</v>
      </c>
      <c r="C32" s="215"/>
      <c r="D32" s="202"/>
      <c r="E32" s="202"/>
      <c r="F32" s="203"/>
      <c r="G32" s="203"/>
      <c r="H32" s="203"/>
      <c r="I32" s="203"/>
      <c r="J32" s="203"/>
      <c r="K32" s="203"/>
      <c r="L32" s="202"/>
      <c r="M32" s="203"/>
      <c r="N32" s="203"/>
      <c r="O32" s="204"/>
    </row>
    <row r="33" spans="1:15" x14ac:dyDescent="0.25">
      <c r="A33" s="210">
        <v>31</v>
      </c>
      <c r="B33" s="219" t="s">
        <v>51</v>
      </c>
      <c r="C33" s="215"/>
      <c r="D33" s="202"/>
      <c r="E33" s="202"/>
      <c r="F33" s="203"/>
      <c r="G33" s="203"/>
      <c r="H33" s="203"/>
      <c r="I33" s="203"/>
      <c r="J33" s="203"/>
      <c r="K33" s="203"/>
      <c r="L33" s="202"/>
      <c r="M33" s="203"/>
      <c r="N33" s="203"/>
      <c r="O33" s="204"/>
    </row>
    <row r="34" spans="1:15" x14ac:dyDescent="0.25">
      <c r="A34" s="210">
        <v>32</v>
      </c>
      <c r="B34" s="219" t="s">
        <v>52</v>
      </c>
      <c r="C34" s="215"/>
      <c r="D34" s="202"/>
      <c r="E34" s="202"/>
      <c r="F34" s="203"/>
      <c r="G34" s="203"/>
      <c r="H34" s="203"/>
      <c r="I34" s="203"/>
      <c r="J34" s="203"/>
      <c r="K34" s="203"/>
      <c r="L34" s="202"/>
      <c r="M34" s="203"/>
      <c r="N34" s="203"/>
      <c r="O34" s="204"/>
    </row>
    <row r="35" spans="1:15" x14ac:dyDescent="0.25">
      <c r="A35" s="210">
        <v>33</v>
      </c>
      <c r="B35" s="218" t="s">
        <v>21</v>
      </c>
      <c r="C35" s="215"/>
      <c r="D35" s="202"/>
      <c r="E35" s="202"/>
      <c r="F35" s="203"/>
      <c r="G35" s="203"/>
      <c r="H35" s="203"/>
      <c r="I35" s="203"/>
      <c r="J35" s="203"/>
      <c r="K35" s="203"/>
      <c r="L35" s="202"/>
      <c r="M35" s="203"/>
      <c r="N35" s="203"/>
      <c r="O35" s="204"/>
    </row>
    <row r="36" spans="1:15" x14ac:dyDescent="0.25">
      <c r="A36" s="210">
        <v>34</v>
      </c>
      <c r="B36" s="218" t="s">
        <v>22</v>
      </c>
      <c r="C36" s="215">
        <v>8000</v>
      </c>
      <c r="D36" s="202">
        <v>6280</v>
      </c>
      <c r="E36" s="202">
        <v>9000</v>
      </c>
      <c r="F36" s="203">
        <v>14080</v>
      </c>
      <c r="G36" s="203">
        <v>10460</v>
      </c>
      <c r="H36" s="203">
        <v>8360</v>
      </c>
      <c r="I36" s="203">
        <v>10180</v>
      </c>
      <c r="J36" s="203">
        <v>10720</v>
      </c>
      <c r="K36" s="203">
        <v>11220</v>
      </c>
      <c r="L36" s="202">
        <v>11160</v>
      </c>
      <c r="M36" s="203"/>
      <c r="N36" s="203"/>
      <c r="O36" s="204">
        <f>SUM(Tabla91112[[#This Row],[Gener]:[Desembre]])</f>
        <v>99460</v>
      </c>
    </row>
    <row r="37" spans="1:15" x14ac:dyDescent="0.25">
      <c r="A37" s="210">
        <v>35</v>
      </c>
      <c r="B37" s="218" t="s">
        <v>23</v>
      </c>
      <c r="C37" s="215"/>
      <c r="D37" s="202"/>
      <c r="E37" s="202"/>
      <c r="F37" s="203"/>
      <c r="G37" s="203"/>
      <c r="H37" s="203"/>
      <c r="I37" s="203"/>
      <c r="J37" s="203"/>
      <c r="K37" s="203"/>
      <c r="L37" s="202"/>
      <c r="M37" s="203"/>
      <c r="N37" s="203"/>
      <c r="O37" s="204"/>
    </row>
    <row r="38" spans="1:15" x14ac:dyDescent="0.25">
      <c r="A38" s="210">
        <v>36</v>
      </c>
      <c r="B38" s="218" t="s">
        <v>24</v>
      </c>
      <c r="C38" s="215"/>
      <c r="D38" s="202"/>
      <c r="E38" s="202"/>
      <c r="F38" s="203"/>
      <c r="G38" s="203"/>
      <c r="H38" s="203"/>
      <c r="I38" s="203"/>
      <c r="J38" s="203"/>
      <c r="K38" s="203"/>
      <c r="L38" s="202"/>
      <c r="M38" s="203"/>
      <c r="N38" s="203"/>
      <c r="O38" s="204"/>
    </row>
    <row r="39" spans="1:15" x14ac:dyDescent="0.25">
      <c r="A39" s="211">
        <v>37</v>
      </c>
      <c r="B39" s="218" t="s">
        <v>25</v>
      </c>
      <c r="C39" s="215"/>
      <c r="D39" s="202"/>
      <c r="E39" s="202"/>
      <c r="F39" s="203"/>
      <c r="G39" s="203"/>
      <c r="H39" s="203"/>
      <c r="I39" s="203"/>
      <c r="J39" s="227"/>
      <c r="K39" s="203"/>
      <c r="L39" s="202"/>
      <c r="M39" s="203"/>
      <c r="N39" s="203"/>
      <c r="O39" s="204"/>
    </row>
    <row r="40" spans="1:15" x14ac:dyDescent="0.25">
      <c r="A40" s="210">
        <v>38</v>
      </c>
      <c r="B40" s="218" t="s">
        <v>5</v>
      </c>
      <c r="C40" s="215"/>
      <c r="D40" s="202"/>
      <c r="E40" s="202"/>
      <c r="F40" s="203"/>
      <c r="G40" s="203"/>
      <c r="H40" s="203"/>
      <c r="I40" s="203"/>
      <c r="J40" s="203"/>
      <c r="K40" s="203"/>
      <c r="L40" s="202"/>
      <c r="M40" s="203"/>
      <c r="N40" s="203"/>
      <c r="O40" s="204"/>
    </row>
    <row r="41" spans="1:15" x14ac:dyDescent="0.25">
      <c r="A41" s="210">
        <v>39</v>
      </c>
      <c r="B41" s="218" t="s">
        <v>6</v>
      </c>
      <c r="C41" s="215"/>
      <c r="D41" s="202"/>
      <c r="E41" s="202"/>
      <c r="F41" s="203"/>
      <c r="G41" s="203"/>
      <c r="H41" s="203"/>
      <c r="I41" s="203"/>
      <c r="J41" s="203"/>
      <c r="K41" s="203"/>
      <c r="L41" s="202"/>
      <c r="M41" s="203"/>
      <c r="N41" s="203"/>
      <c r="O41" s="204"/>
    </row>
    <row r="42" spans="1:15" x14ac:dyDescent="0.25">
      <c r="A42" s="210">
        <v>40</v>
      </c>
      <c r="B42" s="218" t="s">
        <v>8</v>
      </c>
      <c r="C42" s="215"/>
      <c r="D42" s="202"/>
      <c r="E42" s="202"/>
      <c r="F42" s="203"/>
      <c r="G42" s="203"/>
      <c r="H42" s="203"/>
      <c r="I42" s="203"/>
      <c r="J42" s="203"/>
      <c r="K42" s="203"/>
      <c r="L42" s="202"/>
      <c r="M42" s="203"/>
      <c r="N42" s="203"/>
      <c r="O42" s="204"/>
    </row>
    <row r="43" spans="1:15" s="68" customFormat="1" ht="15.75" thickBot="1" x14ac:dyDescent="0.3">
      <c r="A43" s="212">
        <v>41</v>
      </c>
      <c r="B43" s="220" t="s">
        <v>49</v>
      </c>
      <c r="C43" s="216"/>
      <c r="D43" s="205"/>
      <c r="E43" s="205"/>
      <c r="F43" s="206"/>
      <c r="G43" s="206"/>
      <c r="H43" s="206"/>
      <c r="I43" s="206"/>
      <c r="J43" s="206"/>
      <c r="K43" s="206"/>
      <c r="L43" s="205"/>
      <c r="M43" s="206"/>
      <c r="N43" s="206"/>
      <c r="O43" s="207"/>
    </row>
    <row r="44" spans="1:15" ht="15.75" thickBot="1" x14ac:dyDescent="0.3">
      <c r="A44" s="321"/>
      <c r="B44" s="137" t="s">
        <v>135</v>
      </c>
      <c r="C44" s="138">
        <f>SUBTOTAL(109,C4:C43)</f>
        <v>21040</v>
      </c>
      <c r="D44" s="139">
        <f>SUBTOTAL(109,D4:D43)</f>
        <v>19850</v>
      </c>
      <c r="E44" s="139">
        <f t="shared" ref="E44:N44" si="0">SUBTOTAL(109,E4:E43)</f>
        <v>24840</v>
      </c>
      <c r="F44" s="139">
        <f t="shared" si="0"/>
        <v>29540</v>
      </c>
      <c r="G44" s="139">
        <f t="shared" si="0"/>
        <v>28260</v>
      </c>
      <c r="H44" s="139">
        <f t="shared" si="0"/>
        <v>24580</v>
      </c>
      <c r="I44" s="139">
        <f t="shared" si="0"/>
        <v>29200</v>
      </c>
      <c r="J44" s="139">
        <f t="shared" si="0"/>
        <v>28460</v>
      </c>
      <c r="K44" s="139">
        <f t="shared" si="0"/>
        <v>32220</v>
      </c>
      <c r="L44" s="139">
        <f t="shared" si="0"/>
        <v>30260</v>
      </c>
      <c r="M44" s="139">
        <f t="shared" si="0"/>
        <v>0</v>
      </c>
      <c r="N44" s="139">
        <f t="shared" si="0"/>
        <v>0</v>
      </c>
      <c r="O44" s="140">
        <f>SUM(Tabla91112[[#This Row],[Gener]:[Desembre]])</f>
        <v>268250</v>
      </c>
    </row>
    <row r="45" spans="1:15" ht="15.75" thickBot="1" x14ac:dyDescent="0.3">
      <c r="A45" s="319"/>
      <c r="B45" s="50" t="s">
        <v>124</v>
      </c>
      <c r="C45" s="45">
        <v>18740</v>
      </c>
      <c r="D45" s="38">
        <v>20100</v>
      </c>
      <c r="E45" s="38">
        <v>17260</v>
      </c>
      <c r="F45" s="38">
        <v>24460</v>
      </c>
      <c r="G45" s="38">
        <v>27540</v>
      </c>
      <c r="H45" s="38">
        <v>33100</v>
      </c>
      <c r="I45" s="38">
        <v>30510</v>
      </c>
      <c r="J45" s="38">
        <v>34470</v>
      </c>
      <c r="K45" s="38">
        <v>31280</v>
      </c>
      <c r="L45" s="38">
        <v>29560</v>
      </c>
      <c r="M45" s="38">
        <v>23780</v>
      </c>
      <c r="N45" s="40">
        <v>23660</v>
      </c>
      <c r="O45" s="42">
        <f>SUM(Tabla91112[[#This Row],[Gener]:[Desembre]])</f>
        <v>314460</v>
      </c>
    </row>
    <row r="46" spans="1:15" ht="15.75" thickBot="1" x14ac:dyDescent="0.3">
      <c r="A46" s="320"/>
      <c r="B46" s="86" t="s">
        <v>58</v>
      </c>
      <c r="C46" s="88">
        <f t="shared" ref="C46:O46" si="1">(C44/C45)-1</f>
        <v>0.12273212379935972</v>
      </c>
      <c r="D46" s="88">
        <f t="shared" si="1"/>
        <v>-1.2437810945273631E-2</v>
      </c>
      <c r="E46" s="88">
        <f t="shared" si="1"/>
        <v>0.43916570104287378</v>
      </c>
      <c r="F46" s="88">
        <f t="shared" si="1"/>
        <v>0.20768601798855268</v>
      </c>
      <c r="G46" s="88">
        <f t="shared" si="1"/>
        <v>2.614379084967311E-2</v>
      </c>
      <c r="H46" s="88">
        <f t="shared" si="1"/>
        <v>-0.25740181268882179</v>
      </c>
      <c r="I46" s="88">
        <f t="shared" si="1"/>
        <v>-4.2936742051786325E-2</v>
      </c>
      <c r="J46" s="88">
        <f t="shared" si="1"/>
        <v>-0.17435451116913259</v>
      </c>
      <c r="K46" s="88">
        <f t="shared" si="1"/>
        <v>3.0051150895140655E-2</v>
      </c>
      <c r="L46" s="88">
        <f t="shared" si="1"/>
        <v>2.3680649526387043E-2</v>
      </c>
      <c r="M46" s="88">
        <f t="shared" si="1"/>
        <v>-1</v>
      </c>
      <c r="N46" s="88">
        <f t="shared" si="1"/>
        <v>-1</v>
      </c>
      <c r="O46" s="88">
        <f t="shared" si="1"/>
        <v>-0.14695032754563375</v>
      </c>
    </row>
    <row r="50" spans="16:16" x14ac:dyDescent="0.25">
      <c r="P50" s="69"/>
    </row>
  </sheetData>
  <sheetProtection sheet="1" objects="1" scenarios="1"/>
  <conditionalFormatting sqref="C46:O46">
    <cfRule type="cellIs" dxfId="20" priority="2" operator="lessThan">
      <formula>0</formula>
    </cfRule>
  </conditionalFormatting>
  <conditionalFormatting sqref="C46:O46">
    <cfRule type="cellIs" dxfId="19" priority="1" operator="lessThan">
      <formula>0</formula>
    </cfRule>
  </conditionalFormatting>
  <pageMargins left="0.55118110236220474" right="0.35433070866141736" top="0.55000000000000004" bottom="0.57999999999999996" header="0.19685039370078741" footer="0.42"/>
  <pageSetup paperSize="9" scale="75" fitToWidth="0" fitToHeight="0" orientation="landscape" r:id="rId1"/>
  <headerFooter alignWithMargins="0"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 2021</vt:lpstr>
      <vt:lpstr>PAPER I CARTRÓ</vt:lpstr>
      <vt:lpstr>PAPER I CARTRÓ PORTA A PORTA</vt:lpstr>
      <vt:lpstr>ENVASOS</vt:lpstr>
      <vt:lpstr>VIDRE</vt:lpstr>
      <vt:lpstr>RMO</vt:lpstr>
      <vt:lpstr>FORM</vt:lpstr>
      <vt:lpstr>VERD</vt:lpstr>
      <vt:lpstr>Voluminosos</vt:lpstr>
      <vt:lpstr>MENSUAL DEIXALLERIES</vt:lpstr>
      <vt:lpstr>DEIXALLERIES</vt:lpstr>
      <vt:lpstr>RESUM DEIXALLERIES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2021-04-19T11:24:21Z</cp:lastPrinted>
  <dcterms:created xsi:type="dcterms:W3CDTF">2014-04-10T06:59:07Z</dcterms:created>
  <dcterms:modified xsi:type="dcterms:W3CDTF">2021-11-23T13:13:47Z</dcterms:modified>
</cp:coreProperties>
</file>