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ables/table3.xml" ContentType="application/vnd.openxmlformats-officedocument.spreadsheetml.table+xml"/>
  <Override PartName="/xl/charts/chart6.xml" ContentType="application/vnd.openxmlformats-officedocument.drawingml.chart+xml"/>
  <Override PartName="/xl/tables/table4.xml" ContentType="application/vnd.openxmlformats-officedocument.spreadsheetml.table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8740" windowHeight="7130" activeTab="3"/>
  </bookViews>
  <sheets>
    <sheet name="PAPER I CARTRÓ" sheetId="1" r:id="rId1"/>
    <sheet name="PAPER I CARTRÓ PORTA A PORTA" sheetId="2" r:id="rId2"/>
    <sheet name="ENVASOS" sheetId="4" r:id="rId3"/>
    <sheet name="VIDRE" sheetId="3" r:id="rId4"/>
  </sheets>
  <externalReferences>
    <externalReference r:id="rId5"/>
  </externalReferences>
  <definedNames>
    <definedName name="llInstal" localSheetId="1">#REF!</definedName>
    <definedName name="llInstal">#REF!</definedName>
    <definedName name="llInstalCodi" localSheetId="1">#REF!</definedName>
    <definedName name="llInstalCodi">#REF!</definedName>
    <definedName name="llTitulars" localSheetId="1">#REF!</definedName>
    <definedName name="llTitulars">#REF!</definedName>
    <definedName name="llTitularsCodi" localSheetId="1">#REF!</definedName>
    <definedName name="llTitularsCodi">#REF!</definedName>
  </definedNames>
  <calcPr calcId="125725"/>
</workbook>
</file>

<file path=xl/calcChain.xml><?xml version="1.0" encoding="utf-8"?>
<calcChain xmlns="http://schemas.openxmlformats.org/spreadsheetml/2006/main">
  <c r="O47" i="4"/>
  <c r="N46"/>
  <c r="N48" s="1"/>
  <c r="I46"/>
  <c r="I48" s="1"/>
  <c r="E46"/>
  <c r="E48" s="1"/>
  <c r="O45"/>
  <c r="N44"/>
  <c r="L44"/>
  <c r="L46" s="1"/>
  <c r="L48" s="1"/>
  <c r="K44"/>
  <c r="K46" s="1"/>
  <c r="K48" s="1"/>
  <c r="J44"/>
  <c r="J46" s="1"/>
  <c r="J48" s="1"/>
  <c r="I44"/>
  <c r="H44"/>
  <c r="H46" s="1"/>
  <c r="H48" s="1"/>
  <c r="G44"/>
  <c r="G46" s="1"/>
  <c r="G48" s="1"/>
  <c r="E44"/>
  <c r="D44"/>
  <c r="D46" s="1"/>
  <c r="D48" s="1"/>
  <c r="C44"/>
  <c r="C46" s="1"/>
  <c r="O43"/>
  <c r="O42"/>
  <c r="M41"/>
  <c r="O41" s="1"/>
  <c r="F41"/>
  <c r="C41"/>
  <c r="O40"/>
  <c r="O39"/>
  <c r="O38"/>
  <c r="O37"/>
  <c r="O36"/>
  <c r="O35"/>
  <c r="O34"/>
  <c r="O33"/>
  <c r="O32"/>
  <c r="O31"/>
  <c r="O30"/>
  <c r="O29"/>
  <c r="O28"/>
  <c r="O27"/>
  <c r="M26"/>
  <c r="F26"/>
  <c r="C26"/>
  <c r="O26" s="1"/>
  <c r="M25"/>
  <c r="O25" s="1"/>
  <c r="M24"/>
  <c r="O24" s="1"/>
  <c r="C24"/>
  <c r="O23"/>
  <c r="O22"/>
  <c r="O21"/>
  <c r="M21"/>
  <c r="F21"/>
  <c r="C21"/>
  <c r="O20"/>
  <c r="M20"/>
  <c r="F20"/>
  <c r="C20"/>
  <c r="O19"/>
  <c r="M19"/>
  <c r="F19"/>
  <c r="C19"/>
  <c r="O18"/>
  <c r="O17"/>
  <c r="O16"/>
  <c r="F15"/>
  <c r="O15" s="1"/>
  <c r="O14"/>
  <c r="M13"/>
  <c r="M44" s="1"/>
  <c r="M46" s="1"/>
  <c r="M48" s="1"/>
  <c r="F13"/>
  <c r="O13" s="1"/>
  <c r="C13"/>
  <c r="C12"/>
  <c r="O12" s="1"/>
  <c r="O11"/>
  <c r="O10"/>
  <c r="O9"/>
  <c r="O8"/>
  <c r="O7"/>
  <c r="O6"/>
  <c r="O5"/>
  <c r="O4"/>
  <c r="O48" i="3"/>
  <c r="H47"/>
  <c r="G47"/>
  <c r="D47"/>
  <c r="O46"/>
  <c r="N45"/>
  <c r="N47" s="1"/>
  <c r="J45"/>
  <c r="J47" s="1"/>
  <c r="I45"/>
  <c r="I49" s="1"/>
  <c r="H45"/>
  <c r="H49" s="1"/>
  <c r="G45"/>
  <c r="G49" s="1"/>
  <c r="E45"/>
  <c r="E49" s="1"/>
  <c r="D45"/>
  <c r="D49" s="1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M22"/>
  <c r="L22"/>
  <c r="F22"/>
  <c r="F45" s="1"/>
  <c r="O21"/>
  <c r="K21"/>
  <c r="K45" s="1"/>
  <c r="O20"/>
  <c r="M20"/>
  <c r="M45" s="1"/>
  <c r="L20"/>
  <c r="L45" s="1"/>
  <c r="F20"/>
  <c r="C20"/>
  <c r="O19"/>
  <c r="O18"/>
  <c r="O17"/>
  <c r="O16"/>
  <c r="O15"/>
  <c r="O14"/>
  <c r="O13"/>
  <c r="O12"/>
  <c r="O11"/>
  <c r="O10"/>
  <c r="O9"/>
  <c r="O8"/>
  <c r="O7"/>
  <c r="F7"/>
  <c r="C6"/>
  <c r="C45" s="1"/>
  <c r="O5"/>
  <c r="N47" i="2"/>
  <c r="J47"/>
  <c r="I47"/>
  <c r="O46"/>
  <c r="N45"/>
  <c r="L45"/>
  <c r="L47" s="1"/>
  <c r="K45"/>
  <c r="K47" s="1"/>
  <c r="J45"/>
  <c r="I45"/>
  <c r="H45"/>
  <c r="H47" s="1"/>
  <c r="G45"/>
  <c r="G47" s="1"/>
  <c r="D45"/>
  <c r="D47" s="1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L21"/>
  <c r="E21"/>
  <c r="C21"/>
  <c r="O21" s="1"/>
  <c r="O20"/>
  <c r="O19"/>
  <c r="O18"/>
  <c r="O17"/>
  <c r="O16"/>
  <c r="O15"/>
  <c r="M14"/>
  <c r="M45" s="1"/>
  <c r="M47" s="1"/>
  <c r="L14"/>
  <c r="F14"/>
  <c r="F45" s="1"/>
  <c r="F47" s="1"/>
  <c r="E14"/>
  <c r="E45" s="1"/>
  <c r="E47" s="1"/>
  <c r="C14"/>
  <c r="O14" s="1"/>
  <c r="O13"/>
  <c r="O12"/>
  <c r="O11"/>
  <c r="O10"/>
  <c r="O9"/>
  <c r="O8"/>
  <c r="O7"/>
  <c r="O6"/>
  <c r="O5"/>
  <c r="K47" i="1"/>
  <c r="G47"/>
  <c r="O46"/>
  <c r="N45"/>
  <c r="N47" s="1"/>
  <c r="M45"/>
  <c r="M47" s="1"/>
  <c r="L45"/>
  <c r="L47" s="1"/>
  <c r="K45"/>
  <c r="J45"/>
  <c r="J47" s="1"/>
  <c r="G45"/>
  <c r="E45"/>
  <c r="E47" s="1"/>
  <c r="D45"/>
  <c r="D47" s="1"/>
  <c r="O44"/>
  <c r="O43"/>
  <c r="C42"/>
  <c r="O42" s="1"/>
  <c r="O41"/>
  <c r="O40"/>
  <c r="F40"/>
  <c r="C40"/>
  <c r="F39"/>
  <c r="O39" s="1"/>
  <c r="C39"/>
  <c r="F38"/>
  <c r="C38"/>
  <c r="O38" s="1"/>
  <c r="F37"/>
  <c r="C37"/>
  <c r="O37" s="1"/>
  <c r="O36"/>
  <c r="F35"/>
  <c r="C35"/>
  <c r="O35" s="1"/>
  <c r="O34"/>
  <c r="F34"/>
  <c r="C34"/>
  <c r="O33"/>
  <c r="O32"/>
  <c r="F31"/>
  <c r="C31"/>
  <c r="O31" s="1"/>
  <c r="O30"/>
  <c r="O29"/>
  <c r="F28"/>
  <c r="C28"/>
  <c r="O28" s="1"/>
  <c r="C27"/>
  <c r="O27" s="1"/>
  <c r="F26"/>
  <c r="O26" s="1"/>
  <c r="C26"/>
  <c r="F25"/>
  <c r="C25"/>
  <c r="O25" s="1"/>
  <c r="O24"/>
  <c r="O23"/>
  <c r="F22"/>
  <c r="O22" s="1"/>
  <c r="C22"/>
  <c r="F21"/>
  <c r="C21"/>
  <c r="O21" s="1"/>
  <c r="I20"/>
  <c r="I45" s="1"/>
  <c r="I47" s="1"/>
  <c r="H20"/>
  <c r="H45" s="1"/>
  <c r="H47" s="1"/>
  <c r="F20"/>
  <c r="C20"/>
  <c r="O20" s="1"/>
  <c r="O19"/>
  <c r="F18"/>
  <c r="O18" s="1"/>
  <c r="C18"/>
  <c r="O17"/>
  <c r="F16"/>
  <c r="O16" s="1"/>
  <c r="C16"/>
  <c r="F15"/>
  <c r="C15"/>
  <c r="O15" s="1"/>
  <c r="F14"/>
  <c r="C14"/>
  <c r="O14" s="1"/>
  <c r="O13"/>
  <c r="F13"/>
  <c r="C13"/>
  <c r="O12"/>
  <c r="O11"/>
  <c r="F10"/>
  <c r="C10"/>
  <c r="O10" s="1"/>
  <c r="O9"/>
  <c r="F9"/>
  <c r="C9"/>
  <c r="O8"/>
  <c r="O7"/>
  <c r="F7"/>
  <c r="C7"/>
  <c r="F6"/>
  <c r="O6" s="1"/>
  <c r="C6"/>
  <c r="F5"/>
  <c r="F45" s="1"/>
  <c r="F47" s="1"/>
  <c r="C5"/>
  <c r="O5" s="1"/>
  <c r="O45" i="2" l="1"/>
  <c r="O47" s="1"/>
  <c r="C48" i="4"/>
  <c r="O44"/>
  <c r="F44"/>
  <c r="F46" s="1"/>
  <c r="F48" s="1"/>
  <c r="L49" i="3"/>
  <c r="L47"/>
  <c r="K47"/>
  <c r="K49"/>
  <c r="M49"/>
  <c r="M47"/>
  <c r="F47"/>
  <c r="F49"/>
  <c r="C47"/>
  <c r="C49"/>
  <c r="O45"/>
  <c r="O49" s="1"/>
  <c r="O22"/>
  <c r="O6"/>
  <c r="E47"/>
  <c r="I47"/>
  <c r="J49"/>
  <c r="N49"/>
  <c r="C45" i="2"/>
  <c r="C47" s="1"/>
  <c r="O45" i="1"/>
  <c r="O47" s="1"/>
  <c r="C45"/>
  <c r="C47" s="1"/>
  <c r="O46" i="4" l="1"/>
  <c r="O48" s="1"/>
  <c r="O47" i="3"/>
</calcChain>
</file>

<file path=xl/sharedStrings.xml><?xml version="1.0" encoding="utf-8"?>
<sst xmlns="http://schemas.openxmlformats.org/spreadsheetml/2006/main" count="244" uniqueCount="67">
  <si>
    <t>PAPER I CARTRÓ - 2020</t>
  </si>
  <si>
    <t>Àrees d'aportació i recollida complementària</t>
  </si>
  <si>
    <t>Núm.</t>
  </si>
  <si>
    <t>Població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</si>
  <si>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</si>
  <si>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</si>
  <si>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</si>
  <si>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</si>
  <si>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</si>
  <si>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</si>
  <si>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</si>
  <si>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</si>
  <si>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</si>
  <si>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</si>
  <si>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</si>
  <si>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</si>
  <si>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TOTAL</t>
  </si>
  <si>
    <t>Ametlla del Vallès, L'</t>
  </si>
  <si>
    <t>Bigues i Riells</t>
  </si>
  <si>
    <t>Caldes de Montbui</t>
  </si>
  <si>
    <t>Campins</t>
  </si>
  <si>
    <t>Canovelles</t>
  </si>
  <si>
    <t>Cardedeu</t>
  </si>
  <si>
    <t>Fogars de Montclús</t>
  </si>
  <si>
    <t>Franqueses del Vallès, Les</t>
  </si>
  <si>
    <t>Garriga, La</t>
  </si>
  <si>
    <t>Granollers</t>
  </si>
  <si>
    <t>Gualba</t>
  </si>
  <si>
    <t>Llagosta, La</t>
  </si>
  <si>
    <t>Lliçà d'Amunt</t>
  </si>
  <si>
    <t>Lliçà de Vall</t>
  </si>
  <si>
    <t>Llinars del Vallès</t>
  </si>
  <si>
    <t>Martorelles</t>
  </si>
  <si>
    <t>Mollet del Vallès</t>
  </si>
  <si>
    <t>Montmeló</t>
  </si>
  <si>
    <t>Montornès</t>
  </si>
  <si>
    <t>Montseny</t>
  </si>
  <si>
    <t>Parets del Vallès</t>
  </si>
  <si>
    <t>Roca del Vallès, La</t>
  </si>
  <si>
    <t>Sant Antoni de Vilamajor</t>
  </si>
  <si>
    <t>Sant Celoni</t>
  </si>
  <si>
    <t>Sant Esteve de Palautordera</t>
  </si>
  <si>
    <t>Sant Feliu de Codines</t>
  </si>
  <si>
    <t>Sant Fost de Campsentelles</t>
  </si>
  <si>
    <t>Sant Pere de Vilamajor</t>
  </si>
  <si>
    <t>Santa Eulàlia de Ronçana</t>
  </si>
  <si>
    <t>Santa Maria de Martorelles</t>
  </si>
  <si>
    <t>Santa Maria de Palautordera</t>
  </si>
  <si>
    <t>Tagamanent</t>
  </si>
  <si>
    <t>Vallgorguina</t>
  </si>
  <si>
    <t>Vallromanes</t>
  </si>
  <si>
    <t>Vilalba Sasserra</t>
  </si>
  <si>
    <t>Vilanova del Vallès</t>
  </si>
  <si>
    <t>Castellcir</t>
  </si>
  <si>
    <t>Castellterçol</t>
  </si>
  <si>
    <t>Granera</t>
  </si>
  <si>
    <t>Sant Quirze Safaja</t>
  </si>
  <si>
    <t>TOTAL MENSUAL 2020</t>
  </si>
  <si>
    <t>TOTAL MENSUAL 2019</t>
  </si>
  <si>
    <t>Increment/Decrement</t>
  </si>
  <si>
    <t>Paper i Cartró - Porta a porta, Mercat i papereres</t>
  </si>
  <si>
    <t>VIDRE - 2020</t>
  </si>
  <si>
    <t>Àrees d'aportació i recollida Porta a porta de Vidre</t>
  </si>
  <si>
    <t>Deixalleries</t>
  </si>
  <si>
    <t>ENVASOS - 2020</t>
  </si>
  <si>
    <t>Àrees d'aportació i recollida Porta a porta d'Envasos</t>
  </si>
  <si>
    <t xml:space="preserve">Núm. </t>
  </si>
</sst>
</file>

<file path=xl/styles.xml><?xml version="1.0" encoding="utf-8"?>
<styleSheet xmlns="http://schemas.openxmlformats.org/spreadsheetml/2006/main">
  <numFmts count="8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_-* #,##0.00\ [$€]_-;\-* #,##0.00\ [$€]_-;_-* &quot;-&quot;??\ [$€]_-;_-@_-"/>
    <numFmt numFmtId="166" formatCode="#,##0.00&quot;    &quot;;#,##0.00&quot;    &quot;;&quot;-&quot;#&quot;    &quot;;@&quot; &quot;"/>
    <numFmt numFmtId="167" formatCode="#,##0.00&quot; &quot;[$€-403];[Red]&quot;-&quot;#,##0.00&quot; &quot;[$€-403]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Calibri"/>
      <family val="2"/>
    </font>
    <font>
      <b/>
      <i/>
      <u/>
      <sz val="11"/>
      <color rgb="FF000000"/>
      <name val="Calibri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rgb="FF000000"/>
      </right>
      <top style="dashed">
        <color indexed="64"/>
      </top>
      <bottom style="dashed">
        <color indexed="64"/>
      </bottom>
      <diagonal/>
    </border>
    <border>
      <left style="thin">
        <color rgb="FF000000"/>
      </left>
      <right style="thin">
        <color rgb="FF000000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/>
      <right/>
      <top/>
      <bottom style="dashed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dashed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dashed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dashed">
        <color rgb="FF000000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rgb="FF000000"/>
      </left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/>
      <right/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thin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medium">
        <color indexed="64"/>
      </right>
      <top style="dashed">
        <color rgb="FF000000"/>
      </top>
      <bottom style="dashed">
        <color rgb="FF000000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rgb="FF000000"/>
      </left>
      <right/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medium">
        <color rgb="FF000000"/>
      </right>
      <top style="dashed">
        <color rgb="FF000000"/>
      </top>
      <bottom/>
      <diagonal/>
    </border>
    <border>
      <left/>
      <right/>
      <top style="dashed">
        <color rgb="FF000000"/>
      </top>
      <bottom/>
      <diagonal/>
    </border>
    <border>
      <left style="medium">
        <color rgb="FF000000"/>
      </left>
      <right style="thin">
        <color rgb="FF000000"/>
      </right>
      <top style="dashed">
        <color rgb="FF000000"/>
      </top>
      <bottom/>
      <diagonal/>
    </border>
    <border>
      <left style="thin">
        <color rgb="FF000000"/>
      </left>
      <right style="thin">
        <color rgb="FF000000"/>
      </right>
      <top style="dashed">
        <color rgb="FF000000"/>
      </top>
      <bottom/>
      <diagonal/>
    </border>
    <border>
      <left style="thin">
        <color rgb="FF000000"/>
      </left>
      <right/>
      <top style="dashed">
        <color rgb="FF000000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medium">
        <color indexed="64"/>
      </bottom>
      <diagonal/>
    </border>
    <border>
      <left style="thin">
        <color rgb="FF000000"/>
      </left>
      <right/>
      <top style="dashed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dashed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rgb="FF000000"/>
      </right>
      <top/>
      <bottom style="dashed">
        <color rgb="FF000000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dashed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thin">
        <color indexed="64"/>
      </right>
      <top style="dashed">
        <color rgb="FF000000"/>
      </top>
      <bottom style="dashed">
        <color rgb="FF000000"/>
      </bottom>
      <diagonal/>
    </border>
    <border>
      <left style="thin">
        <color indexed="64"/>
      </left>
      <right style="thin">
        <color indexed="64"/>
      </right>
      <top style="dashed">
        <color rgb="FF000000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rgb="FF000000"/>
      </top>
      <bottom style="dashed">
        <color indexed="64"/>
      </bottom>
      <diagonal/>
    </border>
    <border>
      <left/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indexed="64"/>
      </right>
      <top style="dashed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6">
    <xf numFmtId="0" fontId="0" fillId="0" borderId="0"/>
    <xf numFmtId="9" fontId="1" fillId="0" borderId="0" applyFont="0" applyFill="0" applyBorder="0" applyAlignment="0" applyProtection="0"/>
    <xf numFmtId="0" fontId="4" fillId="0" borderId="0"/>
    <xf numFmtId="43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165" fontId="7" fillId="0" borderId="0" applyFont="0" applyFill="0" applyBorder="0" applyAlignment="0" applyProtection="0"/>
    <xf numFmtId="166" fontId="8" fillId="0" borderId="0"/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 textRotation="90"/>
    </xf>
    <xf numFmtId="0" fontId="9" fillId="0" borderId="0">
      <alignment horizontal="center" textRotation="90"/>
    </xf>
    <xf numFmtId="43" fontId="7" fillId="0" borderId="0" applyFont="0" applyFill="0" applyBorder="0" applyAlignment="0" applyProtection="0"/>
    <xf numFmtId="0" fontId="4" fillId="0" borderId="0"/>
    <xf numFmtId="0" fontId="7" fillId="0" borderId="0">
      <alignment vertical="center"/>
    </xf>
    <xf numFmtId="0" fontId="7" fillId="0" borderId="0"/>
    <xf numFmtId="0" fontId="1" fillId="0" borderId="0"/>
    <xf numFmtId="0" fontId="7" fillId="0" borderId="0"/>
    <xf numFmtId="0" fontId="8" fillId="0" borderId="0"/>
    <xf numFmtId="9" fontId="7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0" fontId="10" fillId="0" borderId="0"/>
    <xf numFmtId="0" fontId="10" fillId="0" borderId="0"/>
    <xf numFmtId="167" fontId="10" fillId="0" borderId="0"/>
    <xf numFmtId="167" fontId="10" fillId="0" borderId="0"/>
  </cellStyleXfs>
  <cellXfs count="144">
    <xf numFmtId="0" fontId="0" fillId="0" borderId="0" xfId="0"/>
    <xf numFmtId="0" fontId="0" fillId="0" borderId="0" xfId="0" applyProtection="1">
      <protection hidden="1"/>
    </xf>
    <xf numFmtId="0" fontId="3" fillId="0" borderId="0" xfId="0" applyFont="1" applyProtection="1">
      <protection hidden="1"/>
    </xf>
    <xf numFmtId="3" fontId="0" fillId="0" borderId="0" xfId="0" applyNumberFormat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3" fontId="2" fillId="0" borderId="1" xfId="0" applyNumberFormat="1" applyFont="1" applyBorder="1" applyAlignment="1" applyProtection="1">
      <alignment horizontal="center"/>
      <protection hidden="1"/>
    </xf>
    <xf numFmtId="0" fontId="2" fillId="0" borderId="1" xfId="0" applyFont="1" applyBorder="1" applyProtection="1">
      <protection hidden="1"/>
    </xf>
    <xf numFmtId="3" fontId="2" fillId="0" borderId="2" xfId="0" applyNumberFormat="1" applyFont="1" applyBorder="1" applyAlignment="1" applyProtection="1">
      <alignment horizontal="center"/>
      <protection hidden="1"/>
    </xf>
    <xf numFmtId="3" fontId="2" fillId="0" borderId="3" xfId="0" applyNumberFormat="1" applyFont="1" applyBorder="1" applyAlignment="1" applyProtection="1">
      <alignment horizontal="center"/>
      <protection hidden="1"/>
    </xf>
    <xf numFmtId="3" fontId="2" fillId="0" borderId="4" xfId="0" applyNumberFormat="1" applyFont="1" applyBorder="1" applyAlignment="1" applyProtection="1">
      <alignment horizontal="center"/>
      <protection hidden="1"/>
    </xf>
    <xf numFmtId="3" fontId="0" fillId="0" borderId="5" xfId="0" applyNumberFormat="1" applyBorder="1" applyAlignment="1" applyProtection="1">
      <alignment horizontal="center"/>
      <protection hidden="1"/>
    </xf>
    <xf numFmtId="0" fontId="0" fillId="0" borderId="5" xfId="0" applyFill="1" applyBorder="1" applyAlignment="1" applyProtection="1">
      <alignment horizontal="left"/>
      <protection hidden="1"/>
    </xf>
    <xf numFmtId="3" fontId="0" fillId="0" borderId="6" xfId="0" applyNumberFormat="1" applyBorder="1" applyAlignment="1" applyProtection="1">
      <alignment horizontal="center"/>
      <protection hidden="1"/>
    </xf>
    <xf numFmtId="3" fontId="0" fillId="0" borderId="7" xfId="0" applyNumberFormat="1" applyBorder="1" applyAlignment="1" applyProtection="1">
      <alignment horizontal="center"/>
      <protection hidden="1"/>
    </xf>
    <xf numFmtId="3" fontId="0" fillId="0" borderId="8" xfId="0" applyNumberFormat="1" applyBorder="1" applyAlignment="1" applyProtection="1">
      <alignment horizontal="center"/>
      <protection hidden="1"/>
    </xf>
    <xf numFmtId="3" fontId="2" fillId="0" borderId="5" xfId="0" applyNumberFormat="1" applyFont="1" applyBorder="1" applyAlignment="1" applyProtection="1">
      <alignment horizontal="center"/>
      <protection hidden="1"/>
    </xf>
    <xf numFmtId="3" fontId="0" fillId="0" borderId="9" xfId="0" applyNumberFormat="1" applyBorder="1" applyAlignment="1" applyProtection="1">
      <alignment horizontal="center"/>
      <protection hidden="1"/>
    </xf>
    <xf numFmtId="0" fontId="0" fillId="0" borderId="9" xfId="0" applyFont="1" applyFill="1" applyBorder="1" applyAlignment="1" applyProtection="1">
      <alignment horizontal="left"/>
      <protection hidden="1"/>
    </xf>
    <xf numFmtId="3" fontId="0" fillId="0" borderId="10" xfId="0" applyNumberFormat="1" applyBorder="1" applyAlignment="1" applyProtection="1">
      <alignment horizontal="center"/>
      <protection hidden="1"/>
    </xf>
    <xf numFmtId="3" fontId="0" fillId="0" borderId="11" xfId="0" applyNumberFormat="1" applyBorder="1" applyAlignment="1" applyProtection="1">
      <alignment horizontal="center"/>
      <protection hidden="1"/>
    </xf>
    <xf numFmtId="3" fontId="0" fillId="0" borderId="12" xfId="0" applyNumberFormat="1" applyBorder="1" applyAlignment="1" applyProtection="1">
      <alignment horizontal="center"/>
      <protection hidden="1"/>
    </xf>
    <xf numFmtId="3" fontId="2" fillId="0" borderId="9" xfId="0" applyNumberFormat="1" applyFont="1" applyBorder="1" applyAlignment="1" applyProtection="1">
      <alignment horizontal="center"/>
      <protection hidden="1"/>
    </xf>
    <xf numFmtId="0" fontId="0" fillId="0" borderId="13" xfId="0" applyFont="1" applyFill="1" applyBorder="1" applyAlignment="1" applyProtection="1">
      <alignment horizontal="left"/>
      <protection hidden="1"/>
    </xf>
    <xf numFmtId="3" fontId="2" fillId="0" borderId="13" xfId="0" applyNumberFormat="1" applyFont="1" applyBorder="1" applyAlignment="1" applyProtection="1">
      <alignment horizontal="center"/>
      <protection hidden="1"/>
    </xf>
    <xf numFmtId="0" fontId="0" fillId="0" borderId="9" xfId="0" applyFill="1" applyBorder="1" applyAlignment="1" applyProtection="1">
      <alignment horizontal="left"/>
      <protection hidden="1"/>
    </xf>
    <xf numFmtId="3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1" xfId="2" applyNumberFormat="1" applyFont="1" applyBorder="1" applyAlignment="1">
      <alignment horizontal="center"/>
    </xf>
    <xf numFmtId="3" fontId="0" fillId="0" borderId="14" xfId="0" applyNumberFormat="1" applyBorder="1" applyAlignment="1" applyProtection="1">
      <alignment horizontal="center"/>
      <protection hidden="1"/>
    </xf>
    <xf numFmtId="0" fontId="0" fillId="0" borderId="13" xfId="0" applyFill="1" applyBorder="1" applyAlignment="1" applyProtection="1">
      <alignment horizontal="left"/>
      <protection hidden="1"/>
    </xf>
    <xf numFmtId="3" fontId="0" fillId="0" borderId="15" xfId="0" applyNumberFormat="1" applyBorder="1" applyAlignment="1" applyProtection="1">
      <alignment horizontal="center"/>
      <protection hidden="1"/>
    </xf>
    <xf numFmtId="3" fontId="0" fillId="0" borderId="16" xfId="0" applyNumberFormat="1" applyBorder="1" applyAlignment="1" applyProtection="1">
      <alignment horizontal="center"/>
      <protection hidden="1"/>
    </xf>
    <xf numFmtId="3" fontId="2" fillId="0" borderId="7" xfId="0" applyNumberFormat="1" applyFont="1" applyFill="1" applyBorder="1" applyAlignment="1" applyProtection="1">
      <alignment horizontal="center"/>
      <protection hidden="1"/>
    </xf>
    <xf numFmtId="3" fontId="0" fillId="0" borderId="11" xfId="0" applyNumberFormat="1" applyFill="1" applyBorder="1" applyAlignment="1" applyProtection="1">
      <alignment horizontal="center"/>
      <protection hidden="1"/>
    </xf>
    <xf numFmtId="0" fontId="5" fillId="0" borderId="17" xfId="0" applyNumberFormat="1" applyFont="1" applyFill="1" applyBorder="1" applyAlignment="1" applyProtection="1">
      <alignment horizontal="left"/>
      <protection hidden="1"/>
    </xf>
    <xf numFmtId="3" fontId="5" fillId="0" borderId="18" xfId="0" applyNumberFormat="1" applyFont="1" applyBorder="1" applyAlignment="1" applyProtection="1">
      <alignment horizontal="center"/>
      <protection hidden="1"/>
    </xf>
    <xf numFmtId="3" fontId="5" fillId="0" borderId="19" xfId="0" applyNumberFormat="1" applyFont="1" applyBorder="1" applyAlignment="1" applyProtection="1">
      <alignment horizontal="center"/>
      <protection hidden="1"/>
    </xf>
    <xf numFmtId="3" fontId="5" fillId="0" borderId="20" xfId="0" applyNumberFormat="1" applyFont="1" applyBorder="1" applyAlignment="1" applyProtection="1">
      <alignment horizontal="center"/>
      <protection hidden="1"/>
    </xf>
    <xf numFmtId="3" fontId="5" fillId="0" borderId="17" xfId="0" applyNumberFormat="1" applyFont="1" applyBorder="1" applyAlignment="1" applyProtection="1">
      <alignment horizontal="center"/>
      <protection hidden="1"/>
    </xf>
    <xf numFmtId="3" fontId="0" fillId="0" borderId="15" xfId="0" applyNumberFormat="1" applyFill="1" applyBorder="1" applyAlignment="1" applyProtection="1">
      <alignment horizontal="center"/>
      <protection hidden="1"/>
    </xf>
    <xf numFmtId="0" fontId="2" fillId="0" borderId="21" xfId="0" applyNumberFormat="1" applyFont="1" applyFill="1" applyBorder="1" applyAlignment="1" applyProtection="1">
      <alignment horizontal="left"/>
      <protection hidden="1"/>
    </xf>
    <xf numFmtId="164" fontId="6" fillId="0" borderId="15" xfId="1" applyNumberFormat="1" applyFont="1" applyBorder="1" applyAlignment="1" applyProtection="1">
      <alignment horizontal="center"/>
      <protection hidden="1"/>
    </xf>
    <xf numFmtId="0" fontId="5" fillId="0" borderId="0" xfId="0" applyNumberFormat="1" applyFont="1" applyFill="1" applyBorder="1" applyAlignment="1" applyProtection="1">
      <alignment horizontal="left"/>
      <protection hidden="1"/>
    </xf>
    <xf numFmtId="3" fontId="5" fillId="0" borderId="0" xfId="0" applyNumberFormat="1" applyFont="1" applyBorder="1" applyAlignment="1" applyProtection="1">
      <alignment horizontal="center"/>
      <protection hidden="1"/>
    </xf>
    <xf numFmtId="9" fontId="0" fillId="0" borderId="0" xfId="1" applyFont="1" applyAlignment="1" applyProtection="1">
      <alignment horizontal="center"/>
      <protection hidden="1"/>
    </xf>
    <xf numFmtId="4" fontId="0" fillId="0" borderId="0" xfId="0" applyNumberFormat="1" applyAlignment="1" applyProtection="1">
      <alignment horizontal="center"/>
      <protection hidden="1"/>
    </xf>
    <xf numFmtId="0" fontId="0" fillId="0" borderId="0" xfId="0" applyFont="1" applyProtection="1">
      <protection hidden="1"/>
    </xf>
    <xf numFmtId="3" fontId="6" fillId="0" borderId="5" xfId="0" applyNumberFormat="1" applyFont="1" applyBorder="1" applyAlignment="1" applyProtection="1">
      <alignment horizontal="center"/>
      <protection hidden="1"/>
    </xf>
    <xf numFmtId="3" fontId="0" fillId="0" borderId="22" xfId="0" applyNumberFormat="1" applyBorder="1" applyAlignment="1" applyProtection="1">
      <alignment horizontal="center"/>
      <protection hidden="1"/>
    </xf>
    <xf numFmtId="3" fontId="6" fillId="0" borderId="9" xfId="0" applyNumberFormat="1" applyFont="1" applyBorder="1" applyAlignment="1" applyProtection="1">
      <alignment horizontal="center"/>
      <protection hidden="1"/>
    </xf>
    <xf numFmtId="0" fontId="11" fillId="0" borderId="0" xfId="0" applyFont="1"/>
    <xf numFmtId="4" fontId="11" fillId="0" borderId="0" xfId="0" applyNumberFormat="1" applyFont="1"/>
    <xf numFmtId="3" fontId="6" fillId="0" borderId="13" xfId="0" applyNumberFormat="1" applyFont="1" applyBorder="1" applyAlignment="1" applyProtection="1">
      <alignment horizontal="center"/>
      <protection hidden="1"/>
    </xf>
    <xf numFmtId="3" fontId="0" fillId="0" borderId="23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0" fillId="0" borderId="24" xfId="2" applyNumberFormat="1" applyFon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3" fontId="0" fillId="0" borderId="0" xfId="0" applyNumberFormat="1" applyProtection="1">
      <protection hidden="1"/>
    </xf>
    <xf numFmtId="3" fontId="2" fillId="0" borderId="21" xfId="0" applyNumberFormat="1" applyFont="1" applyBorder="1" applyAlignment="1" applyProtection="1">
      <alignment horizontal="center"/>
      <protection hidden="1"/>
    </xf>
    <xf numFmtId="3" fontId="2" fillId="0" borderId="26" xfId="0" applyNumberFormat="1" applyFont="1" applyBorder="1" applyAlignment="1" applyProtection="1">
      <alignment horizontal="center"/>
      <protection hidden="1"/>
    </xf>
    <xf numFmtId="3" fontId="2" fillId="0" borderId="27" xfId="0" applyNumberFormat="1" applyFont="1" applyBorder="1" applyAlignment="1" applyProtection="1">
      <alignment horizontal="center"/>
      <protection hidden="1"/>
    </xf>
    <xf numFmtId="3" fontId="2" fillId="0" borderId="28" xfId="0" applyNumberFormat="1" applyFont="1" applyBorder="1" applyAlignment="1" applyProtection="1">
      <alignment horizontal="center"/>
      <protection hidden="1"/>
    </xf>
    <xf numFmtId="3" fontId="0" fillId="0" borderId="29" xfId="0" applyNumberFormat="1" applyBorder="1" applyAlignment="1" applyProtection="1">
      <alignment horizontal="center"/>
      <protection hidden="1"/>
    </xf>
    <xf numFmtId="0" fontId="0" fillId="0" borderId="30" xfId="0" applyFill="1" applyBorder="1" applyAlignment="1" applyProtection="1">
      <alignment horizontal="left"/>
      <protection hidden="1"/>
    </xf>
    <xf numFmtId="3" fontId="0" fillId="0" borderId="31" xfId="0" applyNumberFormat="1" applyBorder="1" applyAlignment="1" applyProtection="1">
      <alignment horizontal="center"/>
      <protection hidden="1"/>
    </xf>
    <xf numFmtId="3" fontId="0" fillId="0" borderId="32" xfId="0" applyNumberFormat="1" applyBorder="1" applyAlignment="1" applyProtection="1">
      <alignment horizontal="center"/>
      <protection hidden="1"/>
    </xf>
    <xf numFmtId="3" fontId="0" fillId="0" borderId="33" xfId="0" applyNumberFormat="1" applyBorder="1" applyAlignment="1" applyProtection="1">
      <alignment horizontal="center"/>
      <protection hidden="1"/>
    </xf>
    <xf numFmtId="3" fontId="2" fillId="0" borderId="34" xfId="0" applyNumberFormat="1" applyFont="1" applyBorder="1" applyAlignment="1" applyProtection="1">
      <alignment horizontal="center"/>
      <protection hidden="1"/>
    </xf>
    <xf numFmtId="3" fontId="0" fillId="0" borderId="35" xfId="0" applyNumberFormat="1" applyBorder="1" applyAlignment="1" applyProtection="1">
      <alignment horizontal="center"/>
      <protection hidden="1"/>
    </xf>
    <xf numFmtId="0" fontId="0" fillId="0" borderId="36" xfId="0" applyFont="1" applyFill="1" applyBorder="1" applyAlignment="1" applyProtection="1">
      <alignment horizontal="left"/>
      <protection hidden="1"/>
    </xf>
    <xf numFmtId="3" fontId="0" fillId="0" borderId="37" xfId="0" applyNumberFormat="1" applyBorder="1" applyAlignment="1" applyProtection="1">
      <alignment horizontal="center"/>
      <protection hidden="1"/>
    </xf>
    <xf numFmtId="3" fontId="0" fillId="0" borderId="38" xfId="0" applyNumberFormat="1" applyBorder="1" applyAlignment="1" applyProtection="1">
      <alignment horizontal="center"/>
      <protection hidden="1"/>
    </xf>
    <xf numFmtId="3" fontId="0" fillId="0" borderId="39" xfId="0" applyNumberFormat="1" applyBorder="1" applyAlignment="1" applyProtection="1">
      <alignment horizontal="center"/>
      <protection hidden="1"/>
    </xf>
    <xf numFmtId="3" fontId="2" fillId="0" borderId="40" xfId="0" applyNumberFormat="1" applyFont="1" applyBorder="1" applyAlignment="1" applyProtection="1">
      <alignment horizontal="center"/>
      <protection hidden="1"/>
    </xf>
    <xf numFmtId="0" fontId="0" fillId="0" borderId="36" xfId="0" applyFill="1" applyBorder="1" applyAlignment="1" applyProtection="1">
      <alignment horizontal="left"/>
      <protection hidden="1"/>
    </xf>
    <xf numFmtId="3" fontId="0" fillId="0" borderId="41" xfId="0" applyNumberFormat="1" applyBorder="1" applyAlignment="1" applyProtection="1">
      <alignment horizontal="center"/>
      <protection hidden="1"/>
    </xf>
    <xf numFmtId="3" fontId="0" fillId="0" borderId="42" xfId="0" applyNumberFormat="1" applyBorder="1" applyAlignment="1" applyProtection="1">
      <alignment horizontal="center"/>
      <protection hidden="1"/>
    </xf>
    <xf numFmtId="0" fontId="0" fillId="0" borderId="43" xfId="0" applyFill="1" applyBorder="1" applyAlignment="1" applyProtection="1">
      <alignment horizontal="left"/>
      <protection hidden="1"/>
    </xf>
    <xf numFmtId="3" fontId="0" fillId="0" borderId="44" xfId="0" applyNumberFormat="1" applyBorder="1" applyAlignment="1" applyProtection="1">
      <alignment horizontal="center"/>
      <protection hidden="1"/>
    </xf>
    <xf numFmtId="3" fontId="0" fillId="0" borderId="45" xfId="0" applyNumberFormat="1" applyBorder="1" applyAlignment="1" applyProtection="1">
      <alignment horizontal="center"/>
      <protection hidden="1"/>
    </xf>
    <xf numFmtId="3" fontId="0" fillId="0" borderId="46" xfId="0" applyNumberFormat="1" applyBorder="1" applyAlignment="1" applyProtection="1">
      <alignment horizontal="center"/>
      <protection hidden="1"/>
    </xf>
    <xf numFmtId="3" fontId="2" fillId="0" borderId="47" xfId="0" applyNumberFormat="1" applyFont="1" applyBorder="1" applyAlignment="1" applyProtection="1">
      <alignment horizontal="center"/>
      <protection hidden="1"/>
    </xf>
    <xf numFmtId="4" fontId="12" fillId="0" borderId="0" xfId="0" applyNumberFormat="1" applyFont="1"/>
    <xf numFmtId="3" fontId="2" fillId="0" borderId="48" xfId="0" applyNumberFormat="1" applyFont="1" applyBorder="1" applyAlignment="1" applyProtection="1">
      <alignment horizontal="center"/>
      <protection hidden="1"/>
    </xf>
    <xf numFmtId="0" fontId="2" fillId="0" borderId="49" xfId="0" applyFont="1" applyBorder="1" applyProtection="1">
      <protection hidden="1"/>
    </xf>
    <xf numFmtId="3" fontId="2" fillId="0" borderId="50" xfId="0" applyNumberFormat="1" applyFont="1" applyBorder="1" applyAlignment="1" applyProtection="1">
      <alignment horizontal="center"/>
      <protection hidden="1"/>
    </xf>
    <xf numFmtId="3" fontId="2" fillId="0" borderId="51" xfId="0" applyNumberFormat="1" applyFont="1" applyBorder="1" applyAlignment="1" applyProtection="1">
      <alignment horizontal="center"/>
      <protection hidden="1"/>
    </xf>
    <xf numFmtId="3" fontId="2" fillId="0" borderId="52" xfId="0" applyNumberFormat="1" applyFont="1" applyBorder="1" applyAlignment="1" applyProtection="1">
      <alignment horizontal="center"/>
      <protection hidden="1"/>
    </xf>
    <xf numFmtId="3" fontId="2" fillId="0" borderId="49" xfId="0" applyNumberFormat="1" applyFont="1" applyBorder="1" applyAlignment="1" applyProtection="1">
      <alignment horizontal="center"/>
      <protection hidden="1"/>
    </xf>
    <xf numFmtId="3" fontId="0" fillId="0" borderId="53" xfId="0" applyNumberFormat="1" applyFont="1" applyBorder="1" applyAlignment="1" applyProtection="1">
      <alignment horizontal="center"/>
      <protection hidden="1"/>
    </xf>
    <xf numFmtId="0" fontId="0" fillId="0" borderId="54" xfId="0" applyFont="1" applyFill="1" applyBorder="1" applyAlignment="1" applyProtection="1">
      <alignment horizontal="left"/>
      <protection hidden="1"/>
    </xf>
    <xf numFmtId="3" fontId="0" fillId="0" borderId="55" xfId="0" applyNumberFormat="1" applyFont="1" applyBorder="1" applyAlignment="1" applyProtection="1">
      <alignment horizontal="center"/>
      <protection hidden="1"/>
    </xf>
    <xf numFmtId="3" fontId="0" fillId="0" borderId="54" xfId="0" applyNumberFormat="1" applyFont="1" applyBorder="1" applyAlignment="1" applyProtection="1">
      <alignment horizontal="center"/>
      <protection hidden="1"/>
    </xf>
    <xf numFmtId="3" fontId="0" fillId="0" borderId="56" xfId="0" applyNumberFormat="1" applyFont="1" applyBorder="1" applyAlignment="1" applyProtection="1">
      <alignment horizontal="center"/>
      <protection hidden="1"/>
    </xf>
    <xf numFmtId="3" fontId="2" fillId="0" borderId="57" xfId="0" applyNumberFormat="1" applyFont="1" applyBorder="1" applyAlignment="1" applyProtection="1">
      <alignment horizontal="center"/>
      <protection hidden="1"/>
    </xf>
    <xf numFmtId="0" fontId="2" fillId="0" borderId="58" xfId="0" applyFont="1" applyFill="1" applyBorder="1" applyAlignment="1" applyProtection="1">
      <alignment horizontal="left"/>
      <protection hidden="1"/>
    </xf>
    <xf numFmtId="3" fontId="2" fillId="0" borderId="59" xfId="0" applyNumberFormat="1" applyFont="1" applyBorder="1" applyAlignment="1" applyProtection="1">
      <alignment horizontal="center"/>
      <protection hidden="1"/>
    </xf>
    <xf numFmtId="3" fontId="2" fillId="0" borderId="58" xfId="0" applyNumberFormat="1" applyFont="1" applyBorder="1" applyAlignment="1" applyProtection="1">
      <alignment horizontal="center"/>
      <protection hidden="1"/>
    </xf>
    <xf numFmtId="3" fontId="2" fillId="0" borderId="60" xfId="0" applyNumberFormat="1" applyFont="1" applyBorder="1" applyAlignment="1" applyProtection="1">
      <alignment horizontal="center"/>
      <protection hidden="1"/>
    </xf>
    <xf numFmtId="3" fontId="0" fillId="0" borderId="61" xfId="0" applyNumberFormat="1" applyBorder="1" applyAlignment="1" applyProtection="1">
      <alignment horizontal="center"/>
      <protection hidden="1"/>
    </xf>
    <xf numFmtId="0" fontId="5" fillId="0" borderId="62" xfId="0" applyNumberFormat="1" applyFont="1" applyFill="1" applyBorder="1" applyAlignment="1" applyProtection="1">
      <alignment horizontal="left"/>
      <protection hidden="1"/>
    </xf>
    <xf numFmtId="3" fontId="5" fillId="0" borderId="63" xfId="0" applyNumberFormat="1" applyFont="1" applyBorder="1" applyAlignment="1" applyProtection="1">
      <alignment horizontal="center"/>
      <protection hidden="1"/>
    </xf>
    <xf numFmtId="3" fontId="5" fillId="0" borderId="64" xfId="0" applyNumberFormat="1" applyFont="1" applyBorder="1" applyAlignment="1" applyProtection="1">
      <alignment horizontal="center"/>
      <protection hidden="1"/>
    </xf>
    <xf numFmtId="3" fontId="5" fillId="0" borderId="65" xfId="0" applyNumberFormat="1" applyFont="1" applyBorder="1" applyAlignment="1" applyProtection="1">
      <alignment horizontal="center"/>
      <protection hidden="1"/>
    </xf>
    <xf numFmtId="3" fontId="5" fillId="0" borderId="66" xfId="0" applyNumberFormat="1" applyFont="1" applyBorder="1" applyAlignment="1" applyProtection="1">
      <alignment horizontal="center"/>
      <protection hidden="1"/>
    </xf>
    <xf numFmtId="0" fontId="2" fillId="0" borderId="1" xfId="0" applyNumberFormat="1" applyFont="1" applyFill="1" applyBorder="1" applyAlignment="1" applyProtection="1">
      <alignment horizontal="left"/>
      <protection hidden="1"/>
    </xf>
    <xf numFmtId="164" fontId="6" fillId="0" borderId="67" xfId="1" applyNumberFormat="1" applyFont="1" applyBorder="1" applyAlignment="1" applyProtection="1">
      <alignment horizontal="center"/>
      <protection hidden="1"/>
    </xf>
    <xf numFmtId="3" fontId="0" fillId="0" borderId="68" xfId="0" applyNumberFormat="1" applyBorder="1" applyAlignment="1" applyProtection="1">
      <alignment horizontal="center"/>
      <protection hidden="1"/>
    </xf>
    <xf numFmtId="0" fontId="0" fillId="0" borderId="69" xfId="0" applyFill="1" applyBorder="1" applyAlignment="1" applyProtection="1">
      <alignment horizontal="left"/>
      <protection hidden="1"/>
    </xf>
    <xf numFmtId="3" fontId="0" fillId="0" borderId="70" xfId="0" applyNumberFormat="1" applyBorder="1" applyAlignment="1" applyProtection="1">
      <alignment horizontal="center"/>
      <protection hidden="1"/>
    </xf>
    <xf numFmtId="3" fontId="0" fillId="0" borderId="71" xfId="0" applyNumberFormat="1" applyBorder="1" applyAlignment="1" applyProtection="1">
      <alignment horizontal="center"/>
      <protection hidden="1"/>
    </xf>
    <xf numFmtId="3" fontId="0" fillId="0" borderId="72" xfId="0" applyNumberFormat="1" applyBorder="1" applyAlignment="1" applyProtection="1">
      <alignment horizontal="center"/>
      <protection hidden="1"/>
    </xf>
    <xf numFmtId="0" fontId="0" fillId="0" borderId="73" xfId="0" applyFont="1" applyFill="1" applyBorder="1" applyAlignment="1" applyProtection="1">
      <alignment horizontal="left"/>
      <protection hidden="1"/>
    </xf>
    <xf numFmtId="3" fontId="0" fillId="0" borderId="74" xfId="0" applyNumberFormat="1" applyBorder="1" applyAlignment="1" applyProtection="1">
      <alignment horizontal="center"/>
      <protection hidden="1"/>
    </xf>
    <xf numFmtId="3" fontId="0" fillId="0" borderId="75" xfId="0" applyNumberFormat="1" applyBorder="1" applyAlignment="1" applyProtection="1">
      <alignment horizontal="center"/>
      <protection hidden="1"/>
    </xf>
    <xf numFmtId="3" fontId="0" fillId="0" borderId="76" xfId="0" applyNumberFormat="1" applyBorder="1" applyAlignment="1" applyProtection="1">
      <alignment horizontal="center"/>
      <protection hidden="1"/>
    </xf>
    <xf numFmtId="0" fontId="0" fillId="0" borderId="73" xfId="0" applyFill="1" applyBorder="1" applyAlignment="1" applyProtection="1">
      <alignment horizontal="left"/>
      <protection hidden="1"/>
    </xf>
    <xf numFmtId="3" fontId="0" fillId="0" borderId="9" xfId="0" applyNumberFormat="1" applyFont="1" applyBorder="1" applyAlignment="1" applyProtection="1">
      <alignment horizontal="center"/>
      <protection hidden="1"/>
    </xf>
    <xf numFmtId="0" fontId="0" fillId="0" borderId="77" xfId="0" applyFill="1" applyBorder="1" applyAlignment="1" applyProtection="1">
      <alignment horizontal="left"/>
      <protection hidden="1"/>
    </xf>
    <xf numFmtId="3" fontId="0" fillId="0" borderId="59" xfId="0" applyNumberFormat="1" applyBorder="1" applyAlignment="1" applyProtection="1">
      <alignment horizontal="center"/>
      <protection hidden="1"/>
    </xf>
    <xf numFmtId="3" fontId="0" fillId="0" borderId="57" xfId="0" applyNumberFormat="1" applyBorder="1" applyAlignment="1" applyProtection="1">
      <alignment horizontal="center"/>
      <protection hidden="1"/>
    </xf>
    <xf numFmtId="3" fontId="0" fillId="0" borderId="78" xfId="0" applyNumberFormat="1" applyBorder="1" applyAlignment="1" applyProtection="1">
      <alignment horizontal="center"/>
      <protection hidden="1"/>
    </xf>
    <xf numFmtId="3" fontId="0" fillId="0" borderId="79" xfId="0" applyNumberFormat="1" applyBorder="1" applyAlignment="1" applyProtection="1">
      <alignment horizontal="center"/>
      <protection hidden="1"/>
    </xf>
    <xf numFmtId="3" fontId="0" fillId="0" borderId="80" xfId="0" applyNumberFormat="1" applyBorder="1" applyAlignment="1" applyProtection="1">
      <alignment horizontal="center"/>
      <protection hidden="1"/>
    </xf>
    <xf numFmtId="3" fontId="0" fillId="0" borderId="81" xfId="0" applyNumberFormat="1" applyBorder="1" applyAlignment="1" applyProtection="1">
      <alignment horizontal="center"/>
      <protection hidden="1"/>
    </xf>
    <xf numFmtId="0" fontId="2" fillId="0" borderId="17" xfId="0" applyFont="1" applyBorder="1" applyProtection="1">
      <protection hidden="1"/>
    </xf>
    <xf numFmtId="3" fontId="0" fillId="0" borderId="79" xfId="0" applyNumberFormat="1" applyFont="1" applyBorder="1" applyAlignment="1" applyProtection="1">
      <alignment horizontal="center"/>
      <protection hidden="1"/>
    </xf>
    <xf numFmtId="0" fontId="0" fillId="0" borderId="1" xfId="0" applyFont="1" applyBorder="1"/>
    <xf numFmtId="3" fontId="0" fillId="0" borderId="26" xfId="0" applyNumberFormat="1" applyFont="1" applyBorder="1" applyAlignment="1" applyProtection="1">
      <alignment horizontal="center"/>
      <protection hidden="1"/>
    </xf>
    <xf numFmtId="3" fontId="0" fillId="0" borderId="3" xfId="0" applyNumberFormat="1" applyFont="1" applyBorder="1" applyAlignment="1" applyProtection="1">
      <alignment horizontal="center"/>
      <protection hidden="1"/>
    </xf>
    <xf numFmtId="3" fontId="0" fillId="0" borderId="1" xfId="0" applyNumberFormat="1" applyFont="1" applyBorder="1" applyAlignment="1">
      <alignment horizontal="center"/>
    </xf>
    <xf numFmtId="3" fontId="13" fillId="0" borderId="79" xfId="0" applyNumberFormat="1" applyFont="1" applyBorder="1" applyAlignment="1" applyProtection="1">
      <alignment horizontal="center"/>
      <protection hidden="1"/>
    </xf>
    <xf numFmtId="0" fontId="6" fillId="0" borderId="28" xfId="0" applyNumberFormat="1" applyFont="1" applyFill="1" applyBorder="1" applyAlignment="1">
      <alignment horizontal="left"/>
    </xf>
    <xf numFmtId="3" fontId="6" fillId="0" borderId="26" xfId="0" applyNumberFormat="1" applyFont="1" applyFill="1" applyBorder="1" applyAlignment="1">
      <alignment horizontal="center"/>
    </xf>
    <xf numFmtId="3" fontId="6" fillId="0" borderId="3" xfId="0" applyNumberFormat="1" applyFont="1" applyFill="1" applyBorder="1" applyAlignment="1">
      <alignment horizontal="center"/>
    </xf>
    <xf numFmtId="3" fontId="6" fillId="0" borderId="27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3" fontId="5" fillId="0" borderId="82" xfId="0" applyNumberFormat="1" applyFont="1" applyBorder="1" applyAlignment="1" applyProtection="1">
      <alignment horizontal="center"/>
      <protection hidden="1"/>
    </xf>
    <xf numFmtId="3" fontId="5" fillId="0" borderId="62" xfId="0" applyNumberFormat="1" applyFont="1" applyBorder="1" applyAlignment="1" applyProtection="1">
      <alignment horizontal="center"/>
      <protection hidden="1"/>
    </xf>
    <xf numFmtId="164" fontId="6" fillId="0" borderId="63" xfId="1" applyNumberFormat="1" applyFont="1" applyBorder="1" applyAlignment="1" applyProtection="1">
      <alignment horizontal="center"/>
      <protection hidden="1"/>
    </xf>
    <xf numFmtId="164" fontId="6" fillId="0" borderId="64" xfId="1" applyNumberFormat="1" applyFont="1" applyBorder="1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0" fontId="0" fillId="0" borderId="0" xfId="0" applyFont="1" applyBorder="1" applyProtection="1">
      <protection hidden="1"/>
    </xf>
    <xf numFmtId="3" fontId="0" fillId="0" borderId="0" xfId="0" applyNumberFormat="1" applyBorder="1" applyAlignment="1" applyProtection="1">
      <alignment horizontal="center"/>
      <protection hidden="1"/>
    </xf>
  </cellXfs>
  <cellStyles count="26">
    <cellStyle name="Comma" xfId="3"/>
    <cellStyle name="Comma[0]" xfId="4"/>
    <cellStyle name="Currency" xfId="5"/>
    <cellStyle name="Currency[0]" xfId="6"/>
    <cellStyle name="Euro" xfId="7"/>
    <cellStyle name="Excel Built-in Comma" xfId="8"/>
    <cellStyle name="Heading" xfId="9"/>
    <cellStyle name="Heading 1" xfId="10"/>
    <cellStyle name="Heading1" xfId="11"/>
    <cellStyle name="Heading1 2" xfId="12"/>
    <cellStyle name="Millares 2" xfId="13"/>
    <cellStyle name="Normal" xfId="0" builtinId="0"/>
    <cellStyle name="Normal 2" xfId="14"/>
    <cellStyle name="Normal 2 2" xfId="15"/>
    <cellStyle name="Normal 2 3" xfId="16"/>
    <cellStyle name="Normal 3" xfId="2"/>
    <cellStyle name="Normal 3 2" xfId="17"/>
    <cellStyle name="Normal 4" xfId="18"/>
    <cellStyle name="Normal 5" xfId="19"/>
    <cellStyle name="Percent" xfId="20"/>
    <cellStyle name="Porcentual" xfId="1" builtinId="5"/>
    <cellStyle name="Porcentual 2" xfId="21"/>
    <cellStyle name="Result" xfId="22"/>
    <cellStyle name="Result 3" xfId="23"/>
    <cellStyle name="Result2" xfId="24"/>
    <cellStyle name="Result2 4" xfId="25"/>
  </cellStyles>
  <dxfs count="76">
    <dxf>
      <border outline="0">
        <right style="medium">
          <color indexed="64"/>
        </right>
        <bottom style="medium">
          <color indexed="64"/>
        </bottom>
      </border>
    </dxf>
    <dxf>
      <alignment horizontal="center" vertical="bottom" textRotation="0" wrapText="0" indent="0" relative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center" vertical="bottom" textRotation="0" wrapText="0" indent="0" relativeIndent="0" justifyLastLine="0" shrinkToFit="0" readingOrder="0"/>
      <protection locked="1" hidden="1"/>
    </dxf>
    <dxf>
      <numFmt numFmtId="3" formatCode="#,##0"/>
      <alignment horizontal="center" vertical="bottom" textRotation="0" wrapText="0" indent="0" relativeIndent="0" justifyLastLine="0" shrinkToFit="0" readingOrder="0"/>
      <border diagonalUp="0" diagonalDown="0">
        <left style="medium">
          <color indexed="64"/>
        </left>
        <right/>
        <top style="dashed">
          <color indexed="64"/>
        </top>
        <bottom/>
        <vertical/>
        <horizontal/>
      </border>
      <protection locked="1" hidden="1"/>
    </dxf>
    <dxf>
      <numFmt numFmtId="3" formatCode="#,##0"/>
      <alignment horizontal="center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indent="0" relativeIndent="0" justifyLastLine="0" shrinkToFit="0" readingOrder="0"/>
      <border diagonalUp="0" diagonalDown="0">
        <left/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dashed">
          <color rgb="FF000000"/>
        </top>
        <bottom style="medium">
          <color rgb="FF000000"/>
        </bottom>
        <vertical/>
        <horizontal/>
      </border>
      <protection locked="1" hidden="1"/>
    </dxf>
    <dxf>
      <numFmt numFmtId="3" formatCode="#,##0"/>
      <alignment horizontal="center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border outline="0">
        <right style="medium">
          <color indexed="64"/>
        </right>
        <bottom style="medium">
          <color indexed="64"/>
        </bottom>
      </border>
    </dxf>
    <dxf>
      <alignment horizontal="center" vertical="bottom" textRotation="0" wrapText="0" indent="0" relative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center" vertical="bottom" textRotation="0" wrapText="0" indent="0" relativeIndent="0" justifyLastLine="0" shrinkToFit="0" readingOrder="0"/>
      <protection locked="1" hidden="1"/>
    </dxf>
    <dxf>
      <numFmt numFmtId="3" formatCode="#,##0"/>
      <alignment horizontal="center" vertical="bottom" textRotation="0" wrapText="0" indent="0" relativeIndent="0" justifyLastLine="0" shrinkToFit="0" readingOrder="0"/>
      <border diagonalUp="0" diagonalDown="0">
        <left style="medium">
          <color indexed="64"/>
        </left>
        <right/>
        <top style="dashed">
          <color indexed="64"/>
        </top>
        <bottom/>
        <vertical/>
        <horizontal/>
      </border>
      <protection locked="1" hidden="1"/>
    </dxf>
    <dxf>
      <numFmt numFmtId="3" formatCode="#,##0"/>
      <alignment horizontal="center" vertical="bottom" textRotation="0" wrapText="0" indent="0" relativeIndent="0" justifyLastLine="0" shrinkToFit="0" readingOrder="0"/>
      <border diagonalUp="0" diagonalDown="0">
        <left style="thin">
          <color rgb="FF000000"/>
        </left>
        <right style="medium">
          <color indexed="64"/>
        </right>
        <top style="dashed">
          <color rgb="FF000000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inden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dashed">
          <color rgb="FF000000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inden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dashed">
          <color rgb="FF000000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inden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dashed">
          <color rgb="FF000000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inden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dashed">
          <color rgb="FF000000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inden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dashed">
          <color rgb="FF000000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inden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dashed">
          <color rgb="FF000000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inden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dashed">
          <color rgb="FF000000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inden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dashed">
          <color rgb="FF000000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inden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dashed">
          <color rgb="FF000000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inden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dashed">
          <color rgb="FF000000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indent="0" relativeIndent="0" justifyLastLine="0" shrinkToFit="0" readingOrder="0"/>
      <border diagonalUp="0" diagonalDown="0">
        <left style="medium">
          <color rgb="FF000000"/>
        </left>
        <right style="thin">
          <color rgb="FF000000"/>
        </right>
        <top style="dashed">
          <color rgb="FF000000"/>
        </top>
        <bottom style="medium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readingOrder="0"/>
      <border diagonalUp="0" diagonalDown="0">
        <left style="thin">
          <color rgb="FF000000"/>
        </left>
        <right/>
        <top style="dashed">
          <color rgb="FF000000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inden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dashed">
          <color rgb="FF000000"/>
        </top>
        <bottom style="medium">
          <color indexed="64"/>
        </bottom>
        <vertical/>
        <horizontal/>
      </border>
      <protection locked="1" hidden="1"/>
    </dxf>
    <dxf>
      <border>
        <top style="dashed">
          <color rgb="FF000000"/>
        </top>
        <vertical/>
        <horizontal/>
      </border>
    </dxf>
    <dxf>
      <border>
        <bottom style="medium">
          <color rgb="FF000000"/>
        </bottom>
        <vertical/>
        <horizontal/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alignment horizontal="center" vertical="bottom" textRotation="0" wrapText="0" indent="0" relative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center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1"/>
    </dxf>
    <dxf>
      <numFmt numFmtId="3" formatCode="#,##0"/>
      <alignment horizontal="center" vertical="bottom" textRotation="0" wrapText="0" indent="0" relative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auto="1"/>
        </top>
        <bottom style="medium">
          <color auto="1"/>
        </bottom>
        <vertical/>
        <horizontal/>
      </border>
      <protection locked="1" hidden="1"/>
    </dxf>
    <dxf>
      <numFmt numFmtId="3" formatCode="#,##0"/>
      <alignment horizontal="center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auto="1"/>
        </top>
        <bottom style="medium">
          <color auto="1"/>
        </bottom>
        <vertical/>
        <horizontal/>
      </border>
      <protection locked="1" hidden="1"/>
    </dxf>
    <dxf>
      <numFmt numFmtId="3" formatCode="#,##0"/>
      <alignment horizontal="center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border>
        <top style="dashed">
          <color indexed="64"/>
        </top>
        <vertical/>
        <horizontal/>
      </border>
    </dxf>
    <dxf>
      <border>
        <bottom style="medium">
          <color indexed="64"/>
        </bottom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 vertical="bottom" textRotation="0" wrapText="0" indent="0" relative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center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1"/>
    </dxf>
    <dxf>
      <numFmt numFmtId="3" formatCode="#,##0"/>
      <alignment horizontal="center" vertical="bottom" textRotation="0" wrapText="0" indent="0" relative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auto="1"/>
        </top>
        <bottom style="medium">
          <color auto="1"/>
        </bottom>
        <vertical/>
        <horizontal/>
      </border>
      <protection locked="1" hidden="1"/>
    </dxf>
    <dxf>
      <numFmt numFmtId="3" formatCode="#,##0"/>
      <alignment horizontal="center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auto="1"/>
        </top>
        <bottom style="medium">
          <color auto="1"/>
        </bottom>
        <vertical/>
        <horizontal/>
      </border>
      <protection locked="1" hidden="1"/>
    </dxf>
    <dxf>
      <numFmt numFmtId="3" formatCode="#,##0"/>
      <alignment horizontal="center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600"/>
              <a:t>Paper i Cartró 2020-2019</a:t>
            </a:r>
          </a:p>
        </c:rich>
      </c:tx>
      <c:layout/>
    </c:title>
    <c:view3D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'PAPER I CARTRÓ'!$B$46</c:f>
              <c:strCache>
                <c:ptCount val="1"/>
                <c:pt idx="0">
                  <c:v>TOTAL MENSUAL 2019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dLbls>
            <c:dLbl>
              <c:idx val="1"/>
              <c:layout>
                <c:manualLayout>
                  <c:x val="2.3408964800777828E-17"/>
                  <c:y val="-3.9735099337748346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590-4927-8984-8955055C6FCE}"/>
                </c:ext>
              </c:extLst>
            </c:dLbl>
            <c:dLbl>
              <c:idx val="3"/>
              <c:layout>
                <c:manualLayout>
                  <c:x val="0"/>
                  <c:y val="-2.6490066225165611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590-4927-8984-8955055C6FCE}"/>
                </c:ext>
              </c:extLst>
            </c:dLbl>
            <c:dLbl>
              <c:idx val="5"/>
              <c:layout>
                <c:manualLayout>
                  <c:x val="1.2771392081736898E-2"/>
                  <c:y val="0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590-4927-8984-8955055C6FCE}"/>
                </c:ext>
              </c:extLst>
            </c:dLbl>
            <c:dLbl>
              <c:idx val="7"/>
              <c:layout>
                <c:manualLayout>
                  <c:x val="-8.4768211920529801E-3"/>
                  <c:y val="0"/>
                </c:manualLayout>
              </c:layout>
              <c:showVal val="1"/>
            </c:dLbl>
            <c:dLbl>
              <c:idx val="8"/>
              <c:layout>
                <c:manualLayout>
                  <c:x val="-9.0571830839025168E-3"/>
                  <c:y val="-1.7985611510791366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590-4927-8984-8955055C6FCE}"/>
                </c:ext>
              </c:extLst>
            </c:dLbl>
            <c:dLbl>
              <c:idx val="11"/>
              <c:layout>
                <c:manualLayout>
                  <c:x val="-1.7888402601741391E-2"/>
                  <c:y val="4.3859649122807015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590-4927-8984-8955055C6FC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'PAPER I CARTRÓ'!$C$4:$N$4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'PAPER I CARTRÓ'!$C$46:$N$46</c:f>
              <c:numCache>
                <c:formatCode>#,##0</c:formatCode>
                <c:ptCount val="12"/>
                <c:pt idx="0">
                  <c:v>462880.01</c:v>
                </c:pt>
                <c:pt idx="1">
                  <c:v>369379.99999999994</c:v>
                </c:pt>
                <c:pt idx="2">
                  <c:v>408280.00000000012</c:v>
                </c:pt>
                <c:pt idx="3">
                  <c:v>451329.96</c:v>
                </c:pt>
                <c:pt idx="4">
                  <c:v>478719.99000000017</c:v>
                </c:pt>
                <c:pt idx="5">
                  <c:v>468610.00999999995</c:v>
                </c:pt>
                <c:pt idx="6">
                  <c:v>546079.96</c:v>
                </c:pt>
                <c:pt idx="7">
                  <c:v>473560.00999999995</c:v>
                </c:pt>
                <c:pt idx="8">
                  <c:v>511110</c:v>
                </c:pt>
                <c:pt idx="9">
                  <c:v>539325.00999999978</c:v>
                </c:pt>
                <c:pt idx="10">
                  <c:v>500540.00999999978</c:v>
                </c:pt>
                <c:pt idx="11">
                  <c:v>619179.56999999983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8590-4927-8984-8955055C6FCE}"/>
            </c:ext>
          </c:extLst>
        </c:ser>
        <c:ser>
          <c:idx val="41"/>
          <c:order val="1"/>
          <c:tx>
            <c:strRef>
              <c:f>'PAPER I CARTRÓ'!$B$45</c:f>
              <c:strCache>
                <c:ptCount val="1"/>
                <c:pt idx="0">
                  <c:v>TOTAL MENSUAL 2020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dLbls>
            <c:dLbl>
              <c:idx val="0"/>
              <c:layout>
                <c:manualLayout>
                  <c:x val="1.1174224460430161E-2"/>
                  <c:y val="-8.7719298245613666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8590-4927-8984-8955055C6FCE}"/>
                </c:ext>
              </c:extLst>
            </c:dLbl>
            <c:dLbl>
              <c:idx val="1"/>
              <c:layout>
                <c:manualLayout>
                  <c:x val="6.3724709256014114E-3"/>
                  <c:y val="0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590-4927-8984-8955055C6FCE}"/>
                </c:ext>
              </c:extLst>
            </c:dLbl>
            <c:dLbl>
              <c:idx val="3"/>
              <c:layout>
                <c:manualLayout>
                  <c:x val="1.2508523643846903E-2"/>
                  <c:y val="-1.3244923331951887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8590-4927-8984-8955055C6FCE}"/>
                </c:ext>
              </c:extLst>
            </c:dLbl>
            <c:dLbl>
              <c:idx val="5"/>
              <c:layout>
                <c:manualLayout>
                  <c:x val="4.9427906103432133E-3"/>
                  <c:y val="-3.0730763917668196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8590-4927-8984-8955055C6FCE}"/>
                </c:ext>
              </c:extLst>
            </c:dLbl>
            <c:dLbl>
              <c:idx val="6"/>
              <c:layout>
                <c:manualLayout>
                  <c:x val="8.9442013008706953E-3"/>
                  <c:y val="-4.3859649122806633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8590-4927-8984-8955055C6FCE}"/>
                </c:ext>
              </c:extLst>
            </c:dLbl>
            <c:dLbl>
              <c:idx val="9"/>
              <c:layout>
                <c:manualLayout>
                  <c:x val="1.8996181582731243E-2"/>
                  <c:y val="4.3859649122806633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8590-4927-8984-8955055C6FC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'PAPER I CARTRÓ'!$C$4:$N$4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'PAPER I CARTRÓ'!$C$45:$N$45</c:f>
              <c:numCache>
                <c:formatCode>#,##0</c:formatCode>
                <c:ptCount val="12"/>
                <c:pt idx="0">
                  <c:v>618959.99999999977</c:v>
                </c:pt>
                <c:pt idx="1">
                  <c:v>498470.26</c:v>
                </c:pt>
                <c:pt idx="2">
                  <c:v>547400.02000000014</c:v>
                </c:pt>
                <c:pt idx="3">
                  <c:v>566800</c:v>
                </c:pt>
                <c:pt idx="4">
                  <c:v>541640.00999999989</c:v>
                </c:pt>
                <c:pt idx="5">
                  <c:v>609488.57000000007</c:v>
                </c:pt>
                <c:pt idx="6">
                  <c:v>585970.05000000005</c:v>
                </c:pt>
                <c:pt idx="7">
                  <c:v>500221.00999999995</c:v>
                </c:pt>
                <c:pt idx="8">
                  <c:v>570779.9600000002</c:v>
                </c:pt>
                <c:pt idx="9">
                  <c:v>556520.01999999979</c:v>
                </c:pt>
                <c:pt idx="10">
                  <c:v>546339.98999999976</c:v>
                </c:pt>
                <c:pt idx="11">
                  <c:v>669765.96999999986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8590-4927-8984-8955055C6FCE}"/>
            </c:ext>
          </c:extLst>
        </c:ser>
        <c:gapWidth val="75"/>
        <c:shape val="box"/>
        <c:axId val="86436480"/>
        <c:axId val="86889984"/>
        <c:axId val="0"/>
      </c:bar3DChart>
      <c:catAx>
        <c:axId val="8643648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86889984"/>
        <c:crosses val="autoZero"/>
        <c:auto val="1"/>
        <c:lblAlgn val="ctr"/>
        <c:lblOffset val="100"/>
      </c:catAx>
      <c:valAx>
        <c:axId val="86889984"/>
        <c:scaling>
          <c:orientation val="minMax"/>
          <c:min val="200000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8643648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egendEntry>
        <c:idx val="0"/>
        <c:txPr>
          <a:bodyPr/>
          <a:lstStyle/>
          <a:p>
            <a:pPr>
              <a:defRPr sz="1000" b="1" i="0" u="none" strike="noStrik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layout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/>
              <a:t>Paper i Cartró 2020-2019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'PAPER I CARTRÓ'!$B$46</c:f>
              <c:strCache>
                <c:ptCount val="1"/>
                <c:pt idx="0">
                  <c:v>TOTAL MENSUAL 2019</c:v>
                </c:pt>
              </c:strCache>
            </c:strRef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pPr>
              <a:solidFill>
                <a:schemeClr val="accent1">
                  <a:lumMod val="40000"/>
                  <a:lumOff val="60000"/>
                </a:schemeClr>
              </a:solidFill>
            </c:spPr>
          </c:marker>
          <c:dLbls>
            <c:dLbl>
              <c:idx val="0"/>
              <c:layout>
                <c:manualLayout>
                  <c:x val="-1.9900497512438487E-2"/>
                  <c:y val="6.5934065934065936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D3E-4E12-A8D7-8591B5134BCB}"/>
                </c:ext>
              </c:extLst>
            </c:dLbl>
            <c:dLbl>
              <c:idx val="1"/>
              <c:layout>
                <c:manualLayout>
                  <c:x val="0"/>
                  <c:y val="-7.3170738733506734E-3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D3E-4E12-A8D7-8591B5134BCB}"/>
                </c:ext>
              </c:extLst>
            </c:dLbl>
            <c:dLbl>
              <c:idx val="3"/>
              <c:layout>
                <c:manualLayout>
                  <c:x val="-1.1049723756906141E-3"/>
                  <c:y val="-2.5609758556727452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D3E-4E12-A8D7-8591B5134BCB}"/>
                </c:ext>
              </c:extLst>
            </c:dLbl>
            <c:dLbl>
              <c:idx val="5"/>
              <c:layout>
                <c:manualLayout>
                  <c:x val="3.3149171270718232E-3"/>
                  <c:y val="3.2926832430078011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D3E-4E12-A8D7-8591B5134B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'PAPER I CARTRÓ'!$C$4:$N$4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'PAPER I CARTRÓ'!$C$46:$N$46</c:f>
              <c:numCache>
                <c:formatCode>#,##0</c:formatCode>
                <c:ptCount val="12"/>
                <c:pt idx="0">
                  <c:v>462880.01</c:v>
                </c:pt>
                <c:pt idx="1">
                  <c:v>369379.99999999994</c:v>
                </c:pt>
                <c:pt idx="2">
                  <c:v>408280.00000000012</c:v>
                </c:pt>
                <c:pt idx="3">
                  <c:v>451329.96</c:v>
                </c:pt>
                <c:pt idx="4">
                  <c:v>478719.99000000017</c:v>
                </c:pt>
                <c:pt idx="5">
                  <c:v>468610.00999999995</c:v>
                </c:pt>
                <c:pt idx="6">
                  <c:v>546079.96</c:v>
                </c:pt>
                <c:pt idx="7">
                  <c:v>473560.00999999995</c:v>
                </c:pt>
                <c:pt idx="8">
                  <c:v>511110</c:v>
                </c:pt>
                <c:pt idx="9">
                  <c:v>539325.00999999978</c:v>
                </c:pt>
                <c:pt idx="10">
                  <c:v>500540.00999999978</c:v>
                </c:pt>
                <c:pt idx="11">
                  <c:v>619179.56999999983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D3E-4E12-A8D7-8591B5134BCB}"/>
            </c:ext>
          </c:extLst>
        </c:ser>
        <c:ser>
          <c:idx val="41"/>
          <c:order val="1"/>
          <c:tx>
            <c:strRef>
              <c:f>'PAPER I CARTRÓ'!$B$45</c:f>
              <c:strCache>
                <c:ptCount val="1"/>
                <c:pt idx="0">
                  <c:v>TOTAL MENSUAL 2020</c:v>
                </c:pt>
              </c:strCache>
            </c:strRef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pPr>
              <a:solidFill>
                <a:schemeClr val="accent1">
                  <a:lumMod val="75000"/>
                </a:schemeClr>
              </a:solidFill>
            </c:spPr>
          </c:marker>
          <c:dLbls>
            <c:dLbl>
              <c:idx val="0"/>
              <c:layout>
                <c:manualLayout>
                  <c:x val="0"/>
                  <c:y val="-4.3956043956044133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D3E-4E12-A8D7-8591B5134BCB}"/>
                </c:ext>
              </c:extLst>
            </c:dLbl>
            <c:dLbl>
              <c:idx val="1"/>
              <c:layout>
                <c:manualLayout>
                  <c:x val="-1.4716703458425295E-2"/>
                  <c:y val="-8.927277968972408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D3E-4E12-A8D7-8591B5134BCB}"/>
                </c:ext>
              </c:extLst>
            </c:dLbl>
            <c:dLbl>
              <c:idx val="2"/>
              <c:layout>
                <c:manualLayout>
                  <c:x val="0"/>
                  <c:y val="-4.0293040293040303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D3E-4E12-A8D7-8591B5134BCB}"/>
                </c:ext>
              </c:extLst>
            </c:dLbl>
            <c:dLbl>
              <c:idx val="3"/>
              <c:layout>
                <c:manualLayout>
                  <c:x val="-1.6868885454600205E-2"/>
                  <c:y val="5.6391866205507415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4D3E-4E12-A8D7-8591B5134BCB}"/>
                </c:ext>
              </c:extLst>
            </c:dLbl>
            <c:dLbl>
              <c:idx val="5"/>
              <c:layout>
                <c:manualLayout>
                  <c:x val="0"/>
                  <c:y val="-3.2967032967033016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D3E-4E12-A8D7-8591B5134BCB}"/>
                </c:ext>
              </c:extLst>
            </c:dLbl>
            <c:dLbl>
              <c:idx val="6"/>
              <c:layout>
                <c:manualLayout>
                  <c:x val="-3.3179078196381826E-3"/>
                  <c:y val="-3.2967032967032975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D3E-4E12-A8D7-8591B5134BCB}"/>
                </c:ext>
              </c:extLst>
            </c:dLbl>
            <c:dLbl>
              <c:idx val="8"/>
              <c:layout>
                <c:manualLayout>
                  <c:x val="0"/>
                  <c:y val="-3.2197474463061211E-2"/>
                </c:manualLayout>
              </c:layout>
              <c:showVal val="1"/>
            </c:dLbl>
            <c:dLbl>
              <c:idx val="9"/>
              <c:layout>
                <c:manualLayout>
                  <c:x val="-7.739082365948299E-3"/>
                  <c:y val="-3.2967032967032975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D3E-4E12-A8D7-8591B5134BCB}"/>
                </c:ext>
              </c:extLst>
            </c:dLbl>
            <c:dLbl>
              <c:idx val="11"/>
              <c:layout>
                <c:manualLayout>
                  <c:x val="-1.1059692732127274E-3"/>
                  <c:y val="-4.0293040293040303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D3E-4E12-A8D7-8591B5134B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'PAPER I CARTRÓ'!$C$4:$N$4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'PAPER I CARTRÓ'!$C$45:$N$45</c:f>
              <c:numCache>
                <c:formatCode>#,##0</c:formatCode>
                <c:ptCount val="12"/>
                <c:pt idx="0">
                  <c:v>618959.99999999977</c:v>
                </c:pt>
                <c:pt idx="1">
                  <c:v>498470.26</c:v>
                </c:pt>
                <c:pt idx="2">
                  <c:v>547400.02000000014</c:v>
                </c:pt>
                <c:pt idx="3">
                  <c:v>566800</c:v>
                </c:pt>
                <c:pt idx="4">
                  <c:v>541640.00999999989</c:v>
                </c:pt>
                <c:pt idx="5">
                  <c:v>609488.57000000007</c:v>
                </c:pt>
                <c:pt idx="6">
                  <c:v>585970.05000000005</c:v>
                </c:pt>
                <c:pt idx="7">
                  <c:v>500221.00999999995</c:v>
                </c:pt>
                <c:pt idx="8">
                  <c:v>570779.9600000002</c:v>
                </c:pt>
                <c:pt idx="9">
                  <c:v>556520.01999999979</c:v>
                </c:pt>
                <c:pt idx="10">
                  <c:v>546339.98999999976</c:v>
                </c:pt>
                <c:pt idx="11">
                  <c:v>669765.96999999986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4D3E-4E12-A8D7-8591B5134BCB}"/>
            </c:ext>
          </c:extLst>
        </c:ser>
        <c:marker val="1"/>
        <c:axId val="87814912"/>
        <c:axId val="87913984"/>
      </c:lineChart>
      <c:catAx>
        <c:axId val="8781491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87913984"/>
        <c:crosses val="autoZero"/>
        <c:auto val="1"/>
        <c:lblAlgn val="ctr"/>
        <c:lblOffset val="100"/>
      </c:catAx>
      <c:valAx>
        <c:axId val="87913984"/>
        <c:scaling>
          <c:orientation val="minMax"/>
          <c:min val="200000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8781491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900" b="1" i="0" u="none" strike="noStrik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layout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600"/>
              <a:t>Paper i Cartró. Porta a porta,</a:t>
            </a:r>
            <a:r>
              <a:rPr lang="es-ES" sz="1600" baseline="0"/>
              <a:t> Mercat i Papereres.</a:t>
            </a:r>
            <a:r>
              <a:rPr lang="es-ES" sz="1600"/>
              <a:t> 2020-2019</a:t>
            </a:r>
          </a:p>
        </c:rich>
      </c:tx>
      <c:layout/>
    </c:title>
    <c:view3D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'PAPER I CARTRÓ PORTA A PORTA'!$B$46</c:f>
              <c:strCache>
                <c:ptCount val="1"/>
                <c:pt idx="0">
                  <c:v>TOTAL MENSUAL 2019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dLbls>
            <c:dLbl>
              <c:idx val="1"/>
              <c:layout>
                <c:manualLayout>
                  <c:x val="2.3408964800777868E-17"/>
                  <c:y val="-3.9735099337748346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AA3-4193-9D5A-221E3183EADB}"/>
                </c:ext>
              </c:extLst>
            </c:dLbl>
            <c:dLbl>
              <c:idx val="2"/>
              <c:layout>
                <c:manualLayout>
                  <c:x val="-9.5364238410596026E-3"/>
                  <c:y val="1.7985611510791366E-2"/>
                </c:manualLayout>
              </c:layout>
              <c:showVal val="1"/>
            </c:dLbl>
            <c:dLbl>
              <c:idx val="3"/>
              <c:layout>
                <c:manualLayout>
                  <c:x val="0"/>
                  <c:y val="-2.6490066225165611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AA3-4193-9D5A-221E3183EADB}"/>
                </c:ext>
              </c:extLst>
            </c:dLbl>
            <c:dLbl>
              <c:idx val="5"/>
              <c:layout>
                <c:manualLayout>
                  <c:x val="1.2771392081736898E-2"/>
                  <c:y val="0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AA3-4193-9D5A-221E3183EADB}"/>
                </c:ext>
              </c:extLst>
            </c:dLbl>
            <c:dLbl>
              <c:idx val="7"/>
              <c:layout>
                <c:manualLayout>
                  <c:x val="-7.4172185430463593E-3"/>
                  <c:y val="0"/>
                </c:manualLayout>
              </c:layout>
              <c:showVal val="1"/>
            </c:dLbl>
            <c:dLbl>
              <c:idx val="8"/>
              <c:layout>
                <c:manualLayout>
                  <c:x val="-1.1176306230790642E-2"/>
                  <c:y val="0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AA3-4193-9D5A-221E3183EADB}"/>
                </c:ext>
              </c:extLst>
            </c:dLbl>
            <c:dLbl>
              <c:idx val="10"/>
              <c:layout>
                <c:manualLayout>
                  <c:x val="-3.1788079470198723E-3"/>
                  <c:y val="-1.3489208633093525E-2"/>
                </c:manualLayout>
              </c:layout>
              <c:showVal val="1"/>
            </c:dLbl>
            <c:dLbl>
              <c:idx val="11"/>
              <c:layout>
                <c:manualLayout>
                  <c:x val="-1.7888402601741391E-2"/>
                  <c:y val="4.3859649122807015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AA3-4193-9D5A-221E3183EAD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'PAPER I CARTRÓ PORTA A PORTA'!$C$4:$N$4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'PAPER I CARTRÓ PORTA A PORTA'!$C$46:$N$46</c:f>
              <c:numCache>
                <c:formatCode>#,##0</c:formatCode>
                <c:ptCount val="12"/>
                <c:pt idx="0">
                  <c:v>103820</c:v>
                </c:pt>
                <c:pt idx="1">
                  <c:v>90610</c:v>
                </c:pt>
                <c:pt idx="2">
                  <c:v>106300</c:v>
                </c:pt>
                <c:pt idx="3">
                  <c:v>100890</c:v>
                </c:pt>
                <c:pt idx="4">
                  <c:v>133260</c:v>
                </c:pt>
                <c:pt idx="5">
                  <c:v>111540</c:v>
                </c:pt>
                <c:pt idx="6">
                  <c:v>138406</c:v>
                </c:pt>
                <c:pt idx="7">
                  <c:v>99960</c:v>
                </c:pt>
                <c:pt idx="8">
                  <c:v>130040</c:v>
                </c:pt>
                <c:pt idx="9">
                  <c:v>138815</c:v>
                </c:pt>
                <c:pt idx="10">
                  <c:v>129980</c:v>
                </c:pt>
                <c:pt idx="11">
                  <c:v>138300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4AA3-4193-9D5A-221E3183EADB}"/>
            </c:ext>
          </c:extLst>
        </c:ser>
        <c:ser>
          <c:idx val="41"/>
          <c:order val="1"/>
          <c:tx>
            <c:strRef>
              <c:f>'PAPER I CARTRÓ PORTA A PORTA'!$B$45</c:f>
              <c:strCache>
                <c:ptCount val="1"/>
                <c:pt idx="0">
                  <c:v>TOTAL MENSUAL 2020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dLbls>
            <c:dLbl>
              <c:idx val="0"/>
              <c:layout>
                <c:manualLayout>
                  <c:x val="1.1174224460430161E-2"/>
                  <c:y val="-8.7719298245613666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AA3-4193-9D5A-221E3183EADB}"/>
                </c:ext>
              </c:extLst>
            </c:dLbl>
            <c:dLbl>
              <c:idx val="1"/>
              <c:layout>
                <c:manualLayout>
                  <c:x val="6.3724709256014114E-3"/>
                  <c:y val="0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AA3-4193-9D5A-221E3183EADB}"/>
                </c:ext>
              </c:extLst>
            </c:dLbl>
            <c:dLbl>
              <c:idx val="3"/>
              <c:layout>
                <c:manualLayout>
                  <c:x val="1.2508523643846903E-2"/>
                  <c:y val="-1.3244923331951887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4AA3-4193-9D5A-221E3183EADB}"/>
                </c:ext>
              </c:extLst>
            </c:dLbl>
            <c:dLbl>
              <c:idx val="5"/>
              <c:layout>
                <c:manualLayout>
                  <c:x val="4.9427906103432133E-3"/>
                  <c:y val="-3.0730763917668196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AA3-4193-9D5A-221E3183EADB}"/>
                </c:ext>
              </c:extLst>
            </c:dLbl>
            <c:dLbl>
              <c:idx val="6"/>
              <c:layout>
                <c:manualLayout>
                  <c:x val="8.9442013008706953E-3"/>
                  <c:y val="-4.3859649122806633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4AA3-4193-9D5A-221E3183EADB}"/>
                </c:ext>
              </c:extLst>
            </c:dLbl>
            <c:dLbl>
              <c:idx val="9"/>
              <c:layout>
                <c:manualLayout>
                  <c:x val="4.1617354122125494E-3"/>
                  <c:y val="-4.6068656885515334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4AA3-4193-9D5A-221E3183EAD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'PAPER I CARTRÓ PORTA A PORTA'!$C$4:$N$4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'PAPER I CARTRÓ PORTA A PORTA'!$C$45:$N$45</c:f>
              <c:numCache>
                <c:formatCode>#,##0</c:formatCode>
                <c:ptCount val="12"/>
                <c:pt idx="0">
                  <c:v>154976</c:v>
                </c:pt>
                <c:pt idx="1">
                  <c:v>139800</c:v>
                </c:pt>
                <c:pt idx="2">
                  <c:v>106340</c:v>
                </c:pt>
                <c:pt idx="3">
                  <c:v>87840</c:v>
                </c:pt>
                <c:pt idx="4">
                  <c:v>107610</c:v>
                </c:pt>
                <c:pt idx="5">
                  <c:v>131351.43</c:v>
                </c:pt>
                <c:pt idx="6">
                  <c:v>158280</c:v>
                </c:pt>
                <c:pt idx="7">
                  <c:v>100841</c:v>
                </c:pt>
                <c:pt idx="8">
                  <c:v>149520</c:v>
                </c:pt>
                <c:pt idx="9">
                  <c:v>142480</c:v>
                </c:pt>
                <c:pt idx="10">
                  <c:v>125420</c:v>
                </c:pt>
                <c:pt idx="11">
                  <c:v>155280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4AA3-4193-9D5A-221E3183EADB}"/>
            </c:ext>
          </c:extLst>
        </c:ser>
        <c:gapWidth val="75"/>
        <c:shape val="box"/>
        <c:axId val="100265984"/>
        <c:axId val="100267904"/>
        <c:axId val="0"/>
      </c:bar3DChart>
      <c:catAx>
        <c:axId val="10026598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00267904"/>
        <c:crosses val="autoZero"/>
        <c:auto val="1"/>
        <c:lblAlgn val="ctr"/>
        <c:lblOffset val="100"/>
      </c:catAx>
      <c:valAx>
        <c:axId val="100267904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0026598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egendEntry>
        <c:idx val="0"/>
        <c:txPr>
          <a:bodyPr/>
          <a:lstStyle/>
          <a:p>
            <a:pPr>
              <a:defRPr sz="1000" b="1" i="0" u="none" strike="noStrik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layout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/>
              <a:t>Paper i Cartró.Porta a porta, Mercat i Papereres. 2020-2019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'PAPER I CARTRÓ PORTA A PORTA'!$B$46</c:f>
              <c:strCache>
                <c:ptCount val="1"/>
                <c:pt idx="0">
                  <c:v>TOTAL MENSUAL 2019</c:v>
                </c:pt>
              </c:strCache>
            </c:strRef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pPr>
              <a:solidFill>
                <a:schemeClr val="accent1">
                  <a:lumMod val="40000"/>
                  <a:lumOff val="60000"/>
                </a:schemeClr>
              </a:solidFill>
            </c:spPr>
          </c:marker>
          <c:dLbls>
            <c:dLbl>
              <c:idx val="0"/>
              <c:layout>
                <c:manualLayout>
                  <c:x val="-1.9900497512438494E-2"/>
                  <c:y val="6.5934065934065936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6B9-490A-BCC5-E967701FD0CF}"/>
                </c:ext>
              </c:extLst>
            </c:dLbl>
            <c:dLbl>
              <c:idx val="1"/>
              <c:layout>
                <c:manualLayout>
                  <c:x val="0"/>
                  <c:y val="-7.3170738733506734E-3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6B9-490A-BCC5-E967701FD0CF}"/>
                </c:ext>
              </c:extLst>
            </c:dLbl>
            <c:dLbl>
              <c:idx val="3"/>
              <c:layout>
                <c:manualLayout>
                  <c:x val="-1.1049723756906141E-3"/>
                  <c:y val="-2.5609758556727452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6B9-490A-BCC5-E967701FD0CF}"/>
                </c:ext>
              </c:extLst>
            </c:dLbl>
            <c:dLbl>
              <c:idx val="5"/>
              <c:layout>
                <c:manualLayout>
                  <c:x val="3.3149171270718232E-3"/>
                  <c:y val="3.2926832430078011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6B9-490A-BCC5-E967701FD0CF}"/>
                </c:ext>
              </c:extLst>
            </c:dLbl>
            <c:dLbl>
              <c:idx val="6"/>
              <c:layout>
                <c:manualLayout>
                  <c:x val="-2.3314963967782824E-2"/>
                  <c:y val="6.0370264618239723E-2"/>
                </c:manualLayout>
              </c:layout>
              <c:showVal val="1"/>
            </c:dLbl>
            <c:dLbl>
              <c:idx val="9"/>
              <c:layout>
                <c:manualLayout>
                  <c:x val="-4.2390843577787196E-3"/>
                  <c:y val="3.2197474463061211E-2"/>
                </c:manualLayout>
              </c:layout>
              <c:showVal val="1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'PAPER I CARTRÓ PORTA A PORTA'!$C$4:$N$4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'PAPER I CARTRÓ PORTA A PORTA'!$C$46:$N$46</c:f>
              <c:numCache>
                <c:formatCode>#,##0</c:formatCode>
                <c:ptCount val="12"/>
                <c:pt idx="0">
                  <c:v>103820</c:v>
                </c:pt>
                <c:pt idx="1">
                  <c:v>90610</c:v>
                </c:pt>
                <c:pt idx="2">
                  <c:v>106300</c:v>
                </c:pt>
                <c:pt idx="3">
                  <c:v>100890</c:v>
                </c:pt>
                <c:pt idx="4">
                  <c:v>133260</c:v>
                </c:pt>
                <c:pt idx="5">
                  <c:v>111540</c:v>
                </c:pt>
                <c:pt idx="6">
                  <c:v>138406</c:v>
                </c:pt>
                <c:pt idx="7">
                  <c:v>99960</c:v>
                </c:pt>
                <c:pt idx="8">
                  <c:v>130040</c:v>
                </c:pt>
                <c:pt idx="9">
                  <c:v>138815</c:v>
                </c:pt>
                <c:pt idx="10">
                  <c:v>129980</c:v>
                </c:pt>
                <c:pt idx="11">
                  <c:v>138300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6B9-490A-BCC5-E967701FD0CF}"/>
            </c:ext>
          </c:extLst>
        </c:ser>
        <c:ser>
          <c:idx val="41"/>
          <c:order val="1"/>
          <c:tx>
            <c:strRef>
              <c:f>'PAPER I CARTRÓ PORTA A PORTA'!$B$45</c:f>
              <c:strCache>
                <c:ptCount val="1"/>
                <c:pt idx="0">
                  <c:v>TOTAL MENSUAL 2020</c:v>
                </c:pt>
              </c:strCache>
            </c:strRef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pPr>
              <a:solidFill>
                <a:schemeClr val="accent1">
                  <a:lumMod val="75000"/>
                </a:schemeClr>
              </a:solidFill>
            </c:spPr>
          </c:marker>
          <c:dLbls>
            <c:dLbl>
              <c:idx val="0"/>
              <c:layout>
                <c:manualLayout>
                  <c:x val="0"/>
                  <c:y val="-4.3956043956044133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6B9-490A-BCC5-E967701FD0CF}"/>
                </c:ext>
              </c:extLst>
            </c:dLbl>
            <c:dLbl>
              <c:idx val="1"/>
              <c:layout>
                <c:manualLayout>
                  <c:x val="-1.4716703458425295E-2"/>
                  <c:y val="-8.927277968972408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6B9-490A-BCC5-E967701FD0CF}"/>
                </c:ext>
              </c:extLst>
            </c:dLbl>
            <c:dLbl>
              <c:idx val="2"/>
              <c:layout>
                <c:manualLayout>
                  <c:x val="0"/>
                  <c:y val="-4.0293040293040303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6B9-490A-BCC5-E967701FD0CF}"/>
                </c:ext>
              </c:extLst>
            </c:dLbl>
            <c:dLbl>
              <c:idx val="3"/>
              <c:layout>
                <c:manualLayout>
                  <c:x val="-6.2711745601532814E-3"/>
                  <c:y val="3.6268438288893839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F6B9-490A-BCC5-E967701FD0CF}"/>
                </c:ext>
              </c:extLst>
            </c:dLbl>
            <c:dLbl>
              <c:idx val="4"/>
              <c:layout>
                <c:manualLayout>
                  <c:x val="-9.5379398050021227E-3"/>
                  <c:y val="-5.2321229487571973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6B9-490A-BCC5-E967701FD0CF}"/>
                </c:ext>
              </c:extLst>
            </c:dLbl>
            <c:dLbl>
              <c:idx val="5"/>
              <c:layout>
                <c:manualLayout>
                  <c:x val="-2.2255192878338291E-2"/>
                  <c:y val="-3.296691804570203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F6B9-490A-BCC5-E967701FD0CF}"/>
                </c:ext>
              </c:extLst>
            </c:dLbl>
            <c:dLbl>
              <c:idx val="6"/>
              <c:layout>
                <c:manualLayout>
                  <c:x val="-3.3179078196381826E-3"/>
                  <c:y val="-3.2967032967032975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6B9-490A-BCC5-E967701FD0CF}"/>
                </c:ext>
              </c:extLst>
            </c:dLbl>
            <c:dLbl>
              <c:idx val="7"/>
              <c:layout>
                <c:manualLayout>
                  <c:x val="-1.1657565430433881E-2"/>
                  <c:y val="-5.2320896002474394E-2"/>
                </c:manualLayout>
              </c:layout>
              <c:showVal val="1"/>
            </c:dLbl>
            <c:dLbl>
              <c:idx val="8"/>
              <c:layout>
                <c:manualLayout>
                  <c:x val="-1.0597710894446798E-2"/>
                  <c:y val="-2.4148105847295868E-2"/>
                </c:manualLayout>
              </c:layout>
              <c:showVal val="1"/>
            </c:dLbl>
            <c:dLbl>
              <c:idx val="9"/>
              <c:layout>
                <c:manualLayout>
                  <c:x val="-7.7390823659483033E-3"/>
                  <c:y val="-3.2967032967032975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6B9-490A-BCC5-E967701FD0CF}"/>
                </c:ext>
              </c:extLst>
            </c:dLbl>
            <c:dLbl>
              <c:idx val="10"/>
              <c:layout>
                <c:manualLayout>
                  <c:x val="0"/>
                  <c:y val="2.0123421539413225E-2"/>
                </c:manualLayout>
              </c:layout>
              <c:showVal val="1"/>
            </c:dLbl>
            <c:dLbl>
              <c:idx val="11"/>
              <c:layout>
                <c:manualLayout>
                  <c:x val="-1.1059692732127274E-3"/>
                  <c:y val="-4.0293040293040303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6B9-490A-BCC5-E967701FD0C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'PAPER I CARTRÓ PORTA A PORTA'!$C$4:$N$4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'PAPER I CARTRÓ PORTA A PORTA'!$C$45:$N$45</c:f>
              <c:numCache>
                <c:formatCode>#,##0</c:formatCode>
                <c:ptCount val="12"/>
                <c:pt idx="0">
                  <c:v>154976</c:v>
                </c:pt>
                <c:pt idx="1">
                  <c:v>139800</c:v>
                </c:pt>
                <c:pt idx="2">
                  <c:v>106340</c:v>
                </c:pt>
                <c:pt idx="3">
                  <c:v>87840</c:v>
                </c:pt>
                <c:pt idx="4">
                  <c:v>107610</c:v>
                </c:pt>
                <c:pt idx="5">
                  <c:v>131351.43</c:v>
                </c:pt>
                <c:pt idx="6">
                  <c:v>158280</c:v>
                </c:pt>
                <c:pt idx="7">
                  <c:v>100841</c:v>
                </c:pt>
                <c:pt idx="8">
                  <c:v>149520</c:v>
                </c:pt>
                <c:pt idx="9">
                  <c:v>142480</c:v>
                </c:pt>
                <c:pt idx="10">
                  <c:v>125420</c:v>
                </c:pt>
                <c:pt idx="11">
                  <c:v>155280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F6B9-490A-BCC5-E967701FD0CF}"/>
            </c:ext>
          </c:extLst>
        </c:ser>
        <c:marker val="1"/>
        <c:axId val="104089472"/>
        <c:axId val="104116992"/>
      </c:lineChart>
      <c:catAx>
        <c:axId val="10408947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04116992"/>
        <c:crosses val="autoZero"/>
        <c:auto val="1"/>
        <c:lblAlgn val="ctr"/>
        <c:lblOffset val="100"/>
      </c:catAx>
      <c:valAx>
        <c:axId val="104116992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0408947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900" b="1" i="0" u="none" strike="noStrik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layout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/>
              <a:t>Envasos 2020-2019</a:t>
            </a:r>
          </a:p>
        </c:rich>
      </c:tx>
      <c:layout/>
    </c:title>
    <c:view3D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ENVASOS!$B$47</c:f>
              <c:strCache>
                <c:ptCount val="1"/>
                <c:pt idx="0">
                  <c:v>TOTAL MENSUAL 2019</c:v>
                </c:pt>
              </c:strCache>
            </c:strRef>
          </c:tx>
          <c:spPr>
            <a:solidFill>
              <a:srgbClr val="BC8F00"/>
            </a:solidFill>
          </c:spPr>
          <c:dLbls>
            <c:dLbl>
              <c:idx val="4"/>
              <c:layout>
                <c:manualLayout>
                  <c:x val="1.2771006363930541E-3"/>
                  <c:y val="-2.6359623079901893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589-4D9A-915B-1E765321DBD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ENVASOS!$C$3:$N$3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ENVASOS!$C$47:$N$47</c:f>
              <c:numCache>
                <c:formatCode>#,##0</c:formatCode>
                <c:ptCount val="12"/>
                <c:pt idx="0">
                  <c:v>503899.74000000005</c:v>
                </c:pt>
                <c:pt idx="1">
                  <c:v>455080.39999999997</c:v>
                </c:pt>
                <c:pt idx="2">
                  <c:v>507040.02</c:v>
                </c:pt>
                <c:pt idx="3">
                  <c:v>520320</c:v>
                </c:pt>
                <c:pt idx="4">
                  <c:v>549739.98</c:v>
                </c:pt>
                <c:pt idx="5">
                  <c:v>521619.62999999995</c:v>
                </c:pt>
                <c:pt idx="6">
                  <c:v>598525.08000000007</c:v>
                </c:pt>
                <c:pt idx="7">
                  <c:v>530639.98999999987</c:v>
                </c:pt>
                <c:pt idx="8">
                  <c:v>557359.98999999976</c:v>
                </c:pt>
                <c:pt idx="9">
                  <c:v>561707.25999999989</c:v>
                </c:pt>
                <c:pt idx="10">
                  <c:v>536439.85800000001</c:v>
                </c:pt>
                <c:pt idx="11">
                  <c:v>587260.01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589-4D9A-915B-1E765321DBD2}"/>
            </c:ext>
          </c:extLst>
        </c:ser>
        <c:ser>
          <c:idx val="41"/>
          <c:order val="1"/>
          <c:tx>
            <c:strRef>
              <c:f>ENVASOS!$B$46</c:f>
              <c:strCache>
                <c:ptCount val="1"/>
                <c:pt idx="0">
                  <c:v>TOTAL MENSUAL 2020</c:v>
                </c:pt>
              </c:strCache>
            </c:strRef>
          </c:tx>
          <c:spPr>
            <a:solidFill>
              <a:srgbClr val="FFFF00"/>
            </a:solidFill>
          </c:spPr>
          <c:dLbls>
            <c:dLbl>
              <c:idx val="0"/>
              <c:layout>
                <c:manualLayout>
                  <c:x val="1.48401826484024E-2"/>
                  <c:y val="-8.7431693989071038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589-4D9A-915B-1E765321DBD2}"/>
                </c:ext>
              </c:extLst>
            </c:dLbl>
            <c:dLbl>
              <c:idx val="5"/>
              <c:layout>
                <c:manualLayout>
                  <c:x val="6.4772570472219134E-4"/>
                  <c:y val="-1.7486338797814263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589-4D9A-915B-1E765321DBD2}"/>
                </c:ext>
              </c:extLst>
            </c:dLbl>
            <c:dLbl>
              <c:idx val="6"/>
              <c:layout>
                <c:manualLayout>
                  <c:x val="9.1324200913242767E-3"/>
                  <c:y val="0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589-4D9A-915B-1E765321DBD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ENVASOS!$C$3:$N$3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ENVASOS!$C$46:$N$46</c:f>
              <c:numCache>
                <c:formatCode>#,##0</c:formatCode>
                <c:ptCount val="12"/>
                <c:pt idx="0">
                  <c:v>599779.97999999986</c:v>
                </c:pt>
                <c:pt idx="1">
                  <c:v>528459.96999999986</c:v>
                </c:pt>
                <c:pt idx="2">
                  <c:v>601019.99999999988</c:v>
                </c:pt>
                <c:pt idx="3">
                  <c:v>634699.9800000001</c:v>
                </c:pt>
                <c:pt idx="4">
                  <c:v>634400.0199999999</c:v>
                </c:pt>
                <c:pt idx="5">
                  <c:v>670300.01999999979</c:v>
                </c:pt>
                <c:pt idx="6">
                  <c:v>649720.17000000004</c:v>
                </c:pt>
                <c:pt idx="7">
                  <c:v>585680.02</c:v>
                </c:pt>
                <c:pt idx="8">
                  <c:v>610300.00999999989</c:v>
                </c:pt>
                <c:pt idx="9">
                  <c:v>632939.98999999987</c:v>
                </c:pt>
                <c:pt idx="10">
                  <c:v>622380.02000000014</c:v>
                </c:pt>
                <c:pt idx="11">
                  <c:v>661420.01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8589-4D9A-915B-1E765321DBD2}"/>
            </c:ext>
          </c:extLst>
        </c:ser>
        <c:gapWidth val="75"/>
        <c:shape val="box"/>
        <c:axId val="64705664"/>
        <c:axId val="64707200"/>
        <c:axId val="0"/>
      </c:bar3DChart>
      <c:catAx>
        <c:axId val="6470566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64707200"/>
        <c:crosses val="autoZero"/>
        <c:auto val="1"/>
        <c:lblAlgn val="ctr"/>
        <c:lblOffset val="100"/>
      </c:catAx>
      <c:valAx>
        <c:axId val="64707200"/>
        <c:scaling>
          <c:orientation val="minMax"/>
          <c:min val="300000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6470566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egendEntry>
        <c:idx val="0"/>
        <c:txPr>
          <a:bodyPr/>
          <a:lstStyle/>
          <a:p>
            <a:pPr>
              <a:defRPr sz="1000" b="1" i="0" u="none" strike="noStrik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layout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/>
              <a:t>Envasos 2020-2019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ENVASOS!$B$47</c:f>
              <c:strCache>
                <c:ptCount val="1"/>
                <c:pt idx="0">
                  <c:v>TOTAL MENSUAL 2019</c:v>
                </c:pt>
              </c:strCache>
            </c:strRef>
          </c:tx>
          <c:spPr>
            <a:ln>
              <a:solidFill>
                <a:srgbClr val="E39F17"/>
              </a:solidFill>
            </a:ln>
          </c:spPr>
          <c:marker>
            <c:spPr>
              <a:solidFill>
                <a:srgbClr val="FFC000"/>
              </a:solidFill>
            </c:spPr>
          </c:marker>
          <c:dLbls>
            <c:dLbl>
              <c:idx val="0"/>
              <c:layout>
                <c:manualLayout>
                  <c:x val="-1.1405759908753981E-2"/>
                  <c:y val="-2.6755852842809402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16A-4249-84E3-247D4BFA32F0}"/>
                </c:ext>
              </c:extLst>
            </c:dLbl>
            <c:dLbl>
              <c:idx val="4"/>
              <c:layout>
                <c:manualLayout>
                  <c:x val="1.277139208173691E-3"/>
                  <c:y val="-1.3245037717070121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16A-4249-84E3-247D4BFA32F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ENVASOS!$C$3:$N$3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ENVASOS!$C$47:$N$47</c:f>
              <c:numCache>
                <c:formatCode>#,##0</c:formatCode>
                <c:ptCount val="12"/>
                <c:pt idx="0">
                  <c:v>503899.74000000005</c:v>
                </c:pt>
                <c:pt idx="1">
                  <c:v>455080.39999999997</c:v>
                </c:pt>
                <c:pt idx="2">
                  <c:v>507040.02</c:v>
                </c:pt>
                <c:pt idx="3">
                  <c:v>520320</c:v>
                </c:pt>
                <c:pt idx="4">
                  <c:v>549739.98</c:v>
                </c:pt>
                <c:pt idx="5">
                  <c:v>521619.62999999995</c:v>
                </c:pt>
                <c:pt idx="6">
                  <c:v>598525.08000000007</c:v>
                </c:pt>
                <c:pt idx="7">
                  <c:v>530639.98999999987</c:v>
                </c:pt>
                <c:pt idx="8">
                  <c:v>557359.98999999976</c:v>
                </c:pt>
                <c:pt idx="9">
                  <c:v>561707.25999999989</c:v>
                </c:pt>
                <c:pt idx="10">
                  <c:v>536439.85800000001</c:v>
                </c:pt>
                <c:pt idx="11">
                  <c:v>587260.01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16A-4249-84E3-247D4BFA32F0}"/>
            </c:ext>
          </c:extLst>
        </c:ser>
        <c:ser>
          <c:idx val="41"/>
          <c:order val="1"/>
          <c:tx>
            <c:strRef>
              <c:f>ENVASOS!$B$46</c:f>
              <c:strCache>
                <c:ptCount val="1"/>
                <c:pt idx="0">
                  <c:v>TOTAL MENSUAL 2020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</c:spPr>
          </c:marker>
          <c:dLbls>
            <c:dLbl>
              <c:idx val="0"/>
              <c:layout>
                <c:manualLayout>
                  <c:x val="-1.4827487881380101E-2"/>
                  <c:y val="-4.0133779264214048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16A-4249-84E3-247D4BFA32F0}"/>
                </c:ext>
              </c:extLst>
            </c:dLbl>
            <c:dLbl>
              <c:idx val="1"/>
              <c:layout>
                <c:manualLayout>
                  <c:x val="-1.731882881420144E-2"/>
                  <c:y val="-8.8024090803802593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16A-4249-84E3-247D4BFA32F0}"/>
                </c:ext>
              </c:extLst>
            </c:dLbl>
            <c:dLbl>
              <c:idx val="4"/>
              <c:layout>
                <c:manualLayout>
                  <c:x val="-1.4827487881380101E-2"/>
                  <c:y val="1.3377926421404658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16A-4249-84E3-247D4BFA32F0}"/>
                </c:ext>
              </c:extLst>
            </c:dLbl>
            <c:dLbl>
              <c:idx val="5"/>
              <c:layout>
                <c:manualLayout>
                  <c:x val="2.1899915978882078E-3"/>
                  <c:y val="-3.0459209146037076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16A-4249-84E3-247D4BFA32F0}"/>
                </c:ext>
              </c:extLst>
            </c:dLbl>
            <c:dLbl>
              <c:idx val="6"/>
              <c:layout>
                <c:manualLayout>
                  <c:x val="2.2811519817508012E-3"/>
                  <c:y val="2.6755852842809402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16A-4249-84E3-247D4BFA32F0}"/>
                </c:ext>
              </c:extLst>
            </c:dLbl>
            <c:dLbl>
              <c:idx val="8"/>
              <c:layout>
                <c:manualLayout>
                  <c:x val="0"/>
                  <c:y val="-3.643264192593848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16A-4249-84E3-247D4BFA32F0}"/>
                </c:ext>
              </c:extLst>
            </c:dLbl>
            <c:dLbl>
              <c:idx val="10"/>
              <c:layout>
                <c:manualLayout>
                  <c:x val="0"/>
                  <c:y val="-2.6755852842809402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16A-4249-84E3-247D4BFA32F0}"/>
                </c:ext>
              </c:extLst>
            </c:dLbl>
            <c:dLbl>
              <c:idx val="11"/>
              <c:layout>
                <c:manualLayout>
                  <c:x val="0"/>
                  <c:y val="-4.0133779264214048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16A-4249-84E3-247D4BFA32F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ENVASOS!$C$3:$N$3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ENVASOS!$C$46:$N$46</c:f>
              <c:numCache>
                <c:formatCode>#,##0</c:formatCode>
                <c:ptCount val="12"/>
                <c:pt idx="0">
                  <c:v>599779.97999999986</c:v>
                </c:pt>
                <c:pt idx="1">
                  <c:v>528459.96999999986</c:v>
                </c:pt>
                <c:pt idx="2">
                  <c:v>601019.99999999988</c:v>
                </c:pt>
                <c:pt idx="3">
                  <c:v>634699.9800000001</c:v>
                </c:pt>
                <c:pt idx="4">
                  <c:v>634400.0199999999</c:v>
                </c:pt>
                <c:pt idx="5">
                  <c:v>670300.01999999979</c:v>
                </c:pt>
                <c:pt idx="6">
                  <c:v>649720.17000000004</c:v>
                </c:pt>
                <c:pt idx="7">
                  <c:v>585680.02</c:v>
                </c:pt>
                <c:pt idx="8">
                  <c:v>610300.00999999989</c:v>
                </c:pt>
                <c:pt idx="9">
                  <c:v>632939.98999999987</c:v>
                </c:pt>
                <c:pt idx="10">
                  <c:v>622380.02000000014</c:v>
                </c:pt>
                <c:pt idx="11">
                  <c:v>661420.01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916A-4249-84E3-247D4BFA32F0}"/>
            </c:ext>
          </c:extLst>
        </c:ser>
        <c:marker val="1"/>
        <c:axId val="64743296"/>
        <c:axId val="64744832"/>
      </c:lineChart>
      <c:catAx>
        <c:axId val="6474329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64744832"/>
        <c:crosses val="autoZero"/>
        <c:auto val="1"/>
        <c:lblAlgn val="ctr"/>
        <c:lblOffset val="100"/>
      </c:catAx>
      <c:valAx>
        <c:axId val="64744832"/>
        <c:scaling>
          <c:orientation val="minMax"/>
          <c:min val="300000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6474329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000" b="1" i="0" u="none" strike="noStrik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layout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/>
              <a:t>Vidre 2020-2019</a:t>
            </a:r>
          </a:p>
        </c:rich>
      </c:tx>
      <c:layout/>
    </c:title>
    <c:view3D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VIDRE!$B$48</c:f>
              <c:strCache>
                <c:ptCount val="1"/>
                <c:pt idx="0">
                  <c:v>TOTAL MENSUAL 2019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dLbls>
            <c:dLbl>
              <c:idx val="2"/>
              <c:layout>
                <c:manualLayout>
                  <c:x val="-5.8393080611759034E-3"/>
                  <c:y val="-2.1574973031283712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C24-4EFC-8C2D-37E83157B4B7}"/>
                </c:ext>
              </c:extLst>
            </c:dLbl>
            <c:dLbl>
              <c:idx val="4"/>
              <c:layout>
                <c:manualLayout>
                  <c:x val="5.1085568326947684E-3"/>
                  <c:y val="4.4150125723566684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C24-4EFC-8C2D-37E83157B4B7}"/>
                </c:ext>
              </c:extLst>
            </c:dLbl>
            <c:dLbl>
              <c:idx val="5"/>
              <c:layout>
                <c:manualLayout>
                  <c:x val="5.1085568326947684E-3"/>
                  <c:y val="-3.4763878530588895E-7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C24-4EFC-8C2D-37E83157B4B7}"/>
                </c:ext>
              </c:extLst>
            </c:dLbl>
            <c:dLbl>
              <c:idx val="9"/>
              <c:layout>
                <c:manualLayout>
                  <c:x val="1.0126582278481023E-2"/>
                  <c:y val="0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C24-4EFC-8C2D-37E83157B4B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VIDRE!$C$4:$N$4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VIDRE!$C$48:$N$48</c:f>
              <c:numCache>
                <c:formatCode>#,##0</c:formatCode>
                <c:ptCount val="12"/>
                <c:pt idx="0">
                  <c:v>613339.87</c:v>
                </c:pt>
                <c:pt idx="1">
                  <c:v>429160.02</c:v>
                </c:pt>
                <c:pt idx="2">
                  <c:v>422099.99999999994</c:v>
                </c:pt>
                <c:pt idx="3">
                  <c:v>464379.98999999993</c:v>
                </c:pt>
                <c:pt idx="4">
                  <c:v>473939.96</c:v>
                </c:pt>
                <c:pt idx="5">
                  <c:v>412300.00000000006</c:v>
                </c:pt>
                <c:pt idx="6">
                  <c:v>549179.96999999974</c:v>
                </c:pt>
                <c:pt idx="7">
                  <c:v>459940.02</c:v>
                </c:pt>
                <c:pt idx="8">
                  <c:v>546939.98999999987</c:v>
                </c:pt>
                <c:pt idx="9">
                  <c:v>542460.10000000009</c:v>
                </c:pt>
                <c:pt idx="10">
                  <c:v>420879.99999999994</c:v>
                </c:pt>
                <c:pt idx="11">
                  <c:v>530479.97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C24-4EFC-8C2D-37E83157B4B7}"/>
            </c:ext>
          </c:extLst>
        </c:ser>
        <c:ser>
          <c:idx val="41"/>
          <c:order val="1"/>
          <c:tx>
            <c:strRef>
              <c:f>VIDRE!$B$47</c:f>
              <c:strCache>
                <c:ptCount val="1"/>
                <c:pt idx="0">
                  <c:v>TOTAL MENSUAL 2020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dLbls>
            <c:dLbl>
              <c:idx val="1"/>
              <c:layout>
                <c:manualLayout>
                  <c:x val="-2.5543789784897813E-3"/>
                  <c:y val="-3.9735113151210012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C24-4EFC-8C2D-37E83157B4B7}"/>
                </c:ext>
              </c:extLst>
            </c:dLbl>
            <c:dLbl>
              <c:idx val="2"/>
              <c:layout>
                <c:manualLayout>
                  <c:x val="1.2742305945933981E-2"/>
                  <c:y val="-4.4148850325748112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CC24-4EFC-8C2D-37E83157B4B7}"/>
                </c:ext>
              </c:extLst>
            </c:dLbl>
            <c:dLbl>
              <c:idx val="3"/>
              <c:layout>
                <c:manualLayout>
                  <c:x val="6.7510548523206804E-3"/>
                  <c:y val="-8.6299892125135027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C24-4EFC-8C2D-37E83157B4B7}"/>
                </c:ext>
              </c:extLst>
            </c:dLbl>
            <c:dLbl>
              <c:idx val="4"/>
              <c:layout>
                <c:manualLayout>
                  <c:x val="6.7510548523206804E-3"/>
                  <c:y val="8.6299892125135027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CC24-4EFC-8C2D-37E83157B4B7}"/>
                </c:ext>
              </c:extLst>
            </c:dLbl>
            <c:dLbl>
              <c:idx val="5"/>
              <c:layout>
                <c:manualLayout>
                  <c:x val="5.6258790436005714E-3"/>
                  <c:y val="-1.2944983818770227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CC24-4EFC-8C2D-37E83157B4B7}"/>
                </c:ext>
              </c:extLst>
            </c:dLbl>
            <c:dLbl>
              <c:idx val="6"/>
              <c:layout>
                <c:manualLayout>
                  <c:x val="1.1251758087201125E-2"/>
                  <c:y val="0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CC24-4EFC-8C2D-37E83157B4B7}"/>
                </c:ext>
              </c:extLst>
            </c:dLbl>
            <c:dLbl>
              <c:idx val="8"/>
              <c:layout>
                <c:manualLayout>
                  <c:x val="1.6877637130801686E-2"/>
                  <c:y val="0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CC24-4EFC-8C2D-37E83157B4B7}"/>
                </c:ext>
              </c:extLst>
            </c:dLbl>
            <c:dLbl>
              <c:idx val="10"/>
              <c:layout>
                <c:manualLayout>
                  <c:x val="8.5310583844308181E-3"/>
                  <c:y val="0"/>
                </c:manualLayout>
              </c:layout>
              <c:showVal val="1"/>
            </c:dLbl>
            <c:dLbl>
              <c:idx val="11"/>
              <c:layout>
                <c:manualLayout>
                  <c:x val="2.0253164556962036E-2"/>
                  <c:y val="-8.6299892125135027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CC24-4EFC-8C2D-37E83157B4B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VIDRE!$C$4:$N$4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VIDRE!$C$47:$N$47</c:f>
              <c:numCache>
                <c:formatCode>#,##0</c:formatCode>
                <c:ptCount val="12"/>
                <c:pt idx="0">
                  <c:v>726420.00000000012</c:v>
                </c:pt>
                <c:pt idx="1">
                  <c:v>449399.99000000011</c:v>
                </c:pt>
                <c:pt idx="2">
                  <c:v>555159.99999999977</c:v>
                </c:pt>
                <c:pt idx="3">
                  <c:v>510319.98999999993</c:v>
                </c:pt>
                <c:pt idx="4">
                  <c:v>465120.02</c:v>
                </c:pt>
                <c:pt idx="5">
                  <c:v>611160.01000000013</c:v>
                </c:pt>
                <c:pt idx="6">
                  <c:v>671139.98</c:v>
                </c:pt>
                <c:pt idx="7">
                  <c:v>550080.00000000023</c:v>
                </c:pt>
                <c:pt idx="8">
                  <c:v>554559.98999999987</c:v>
                </c:pt>
                <c:pt idx="9">
                  <c:v>484320.0199999999</c:v>
                </c:pt>
                <c:pt idx="10">
                  <c:v>515559.98999999993</c:v>
                </c:pt>
                <c:pt idx="11">
                  <c:v>617980.03000000026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CC24-4EFC-8C2D-37E83157B4B7}"/>
            </c:ext>
          </c:extLst>
        </c:ser>
        <c:gapWidth val="75"/>
        <c:shape val="box"/>
        <c:axId val="132441600"/>
        <c:axId val="134032384"/>
        <c:axId val="0"/>
      </c:bar3DChart>
      <c:catAx>
        <c:axId val="13244160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34032384"/>
        <c:crosses val="autoZero"/>
        <c:auto val="1"/>
        <c:lblAlgn val="ctr"/>
        <c:lblOffset val="100"/>
      </c:catAx>
      <c:valAx>
        <c:axId val="134032384"/>
        <c:scaling>
          <c:orientation val="minMax"/>
          <c:min val="200000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3244160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egendEntry>
        <c:idx val="0"/>
        <c:txPr>
          <a:bodyPr/>
          <a:lstStyle/>
          <a:p>
            <a:pPr>
              <a:defRPr sz="1000" b="1" i="0" u="none" strike="noStrik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layout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/>
              <a:t>Vidre 2020-2019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VIDRE!$B$48</c:f>
              <c:strCache>
                <c:ptCount val="1"/>
                <c:pt idx="0">
                  <c:v>TOTAL MENSUAL 2019</c:v>
                </c:pt>
              </c:strCache>
            </c:strRef>
          </c:tx>
          <c:spPr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accent3">
                  <a:lumMod val="60000"/>
                  <a:lumOff val="40000"/>
                </a:schemeClr>
              </a:solidFill>
            </c:spPr>
          </c:marker>
          <c:dLbls>
            <c:dLbl>
              <c:idx val="1"/>
              <c:layout>
                <c:manualLayout>
                  <c:x val="-3.8314176245210752E-3"/>
                  <c:y val="3.0905088006496755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00C-48CF-B8B9-55B09869127B}"/>
                </c:ext>
              </c:extLst>
            </c:dLbl>
            <c:dLbl>
              <c:idx val="2"/>
              <c:layout>
                <c:manualLayout>
                  <c:x val="-3.8314176245210752E-3"/>
                  <c:y val="1.7660050289426701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00C-48CF-B8B9-55B09869127B}"/>
                </c:ext>
              </c:extLst>
            </c:dLbl>
            <c:dLbl>
              <c:idx val="4"/>
              <c:layout>
                <c:manualLayout>
                  <c:x val="-2.1194794470915854E-2"/>
                  <c:y val="-5.3473098579414395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00C-48CF-B8B9-55B09869127B}"/>
                </c:ext>
              </c:extLst>
            </c:dLbl>
            <c:dLbl>
              <c:idx val="6"/>
              <c:layout>
                <c:manualLayout>
                  <c:x val="0"/>
                  <c:y val="-2.3598820058996987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00C-48CF-B8B9-55B09869127B}"/>
                </c:ext>
              </c:extLst>
            </c:dLbl>
            <c:dLbl>
              <c:idx val="8"/>
              <c:layout>
                <c:manualLayout>
                  <c:x val="-1.6051364365971106E-2"/>
                  <c:y val="3.6205166410728247E-2"/>
                </c:manualLayout>
              </c:layout>
              <c:showVal val="1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VIDRE!$C$4:$N$4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VIDRE!$C$48:$N$48</c:f>
              <c:numCache>
                <c:formatCode>#,##0</c:formatCode>
                <c:ptCount val="12"/>
                <c:pt idx="0">
                  <c:v>613339.87</c:v>
                </c:pt>
                <c:pt idx="1">
                  <c:v>429160.02</c:v>
                </c:pt>
                <c:pt idx="2">
                  <c:v>422099.99999999994</c:v>
                </c:pt>
                <c:pt idx="3">
                  <c:v>464379.98999999993</c:v>
                </c:pt>
                <c:pt idx="4">
                  <c:v>473939.96</c:v>
                </c:pt>
                <c:pt idx="5">
                  <c:v>412300.00000000006</c:v>
                </c:pt>
                <c:pt idx="6">
                  <c:v>549179.96999999974</c:v>
                </c:pt>
                <c:pt idx="7">
                  <c:v>459940.02</c:v>
                </c:pt>
                <c:pt idx="8">
                  <c:v>546939.98999999987</c:v>
                </c:pt>
                <c:pt idx="9">
                  <c:v>542460.10000000009</c:v>
                </c:pt>
                <c:pt idx="10">
                  <c:v>420879.99999999994</c:v>
                </c:pt>
                <c:pt idx="11">
                  <c:v>530479.97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00C-48CF-B8B9-55B09869127B}"/>
            </c:ext>
          </c:extLst>
        </c:ser>
        <c:ser>
          <c:idx val="41"/>
          <c:order val="1"/>
          <c:tx>
            <c:strRef>
              <c:f>VIDRE!$B$47</c:f>
              <c:strCache>
                <c:ptCount val="1"/>
                <c:pt idx="0">
                  <c:v>TOTAL MENSUAL 2020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</c:spPr>
          </c:marker>
          <c:dLbls>
            <c:dLbl>
              <c:idx val="1"/>
              <c:layout>
                <c:manualLayout>
                  <c:x val="8.6306627401911719E-4"/>
                  <c:y val="-2.3534941945031478E-3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00C-48CF-B8B9-55B09869127B}"/>
                </c:ext>
              </c:extLst>
            </c:dLbl>
            <c:dLbl>
              <c:idx val="2"/>
              <c:layout>
                <c:manualLayout>
                  <c:x val="-8.1117950143872811E-3"/>
                  <c:y val="-1.8052219063112922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00C-48CF-B8B9-55B09869127B}"/>
                </c:ext>
              </c:extLst>
            </c:dLbl>
            <c:dLbl>
              <c:idx val="3"/>
              <c:layout>
                <c:manualLayout>
                  <c:x val="-9.9502487562189747E-3"/>
                  <c:y val="-5.1130776794493613E-2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C66C-4FB1-A442-A283D7C5CADD}"/>
                </c:ext>
              </c:extLst>
            </c:dLbl>
            <c:dLbl>
              <c:idx val="6"/>
              <c:layout>
                <c:manualLayout>
                  <c:x val="-2.2637238256933831E-3"/>
                  <c:y val="-3.5398230088495596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00C-48CF-B8B9-55B09869127B}"/>
                </c:ext>
              </c:extLst>
            </c:dLbl>
            <c:dLbl>
              <c:idx val="7"/>
              <c:layout>
                <c:manualLayout>
                  <c:x val="0"/>
                  <c:y val="-2.4136777607152091E-2"/>
                </c:manualLayout>
              </c:layout>
              <c:showVal val="1"/>
            </c:dLbl>
            <c:dLbl>
              <c:idx val="8"/>
              <c:layout>
                <c:manualLayout>
                  <c:x val="0"/>
                  <c:y val="-3.9331366764995296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00C-48CF-B8B9-55B09869127B}"/>
                </c:ext>
              </c:extLst>
            </c:dLbl>
            <c:dLbl>
              <c:idx val="9"/>
              <c:layout>
                <c:manualLayout>
                  <c:x val="0"/>
                  <c:y val="2.3688568416678081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00C-48CF-B8B9-55B09869127B}"/>
                </c:ext>
              </c:extLst>
            </c:dLbl>
            <c:dLbl>
              <c:idx val="10"/>
              <c:layout>
                <c:manualLayout>
                  <c:x val="-1.0723860589812524E-3"/>
                  <c:y val="2.0113974968078888E-2"/>
                </c:manualLayout>
              </c:layout>
              <c:showVal val="1"/>
            </c:dLbl>
            <c:dLbl>
              <c:idx val="11"/>
              <c:layout>
                <c:manualLayout>
                  <c:x val="-2.2637238256933831E-3"/>
                  <c:y val="-5.1130776794493613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00C-48CF-B8B9-55B09869127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VIDRE!$C$4:$N$4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VIDRE!$C$47:$N$47</c:f>
              <c:numCache>
                <c:formatCode>#,##0</c:formatCode>
                <c:ptCount val="12"/>
                <c:pt idx="0">
                  <c:v>726420.00000000012</c:v>
                </c:pt>
                <c:pt idx="1">
                  <c:v>449399.99000000011</c:v>
                </c:pt>
                <c:pt idx="2">
                  <c:v>555159.99999999977</c:v>
                </c:pt>
                <c:pt idx="3">
                  <c:v>510319.98999999993</c:v>
                </c:pt>
                <c:pt idx="4">
                  <c:v>465120.02</c:v>
                </c:pt>
                <c:pt idx="5">
                  <c:v>611160.01000000013</c:v>
                </c:pt>
                <c:pt idx="6">
                  <c:v>671139.98</c:v>
                </c:pt>
                <c:pt idx="7">
                  <c:v>550080.00000000023</c:v>
                </c:pt>
                <c:pt idx="8">
                  <c:v>554559.98999999987</c:v>
                </c:pt>
                <c:pt idx="9">
                  <c:v>484320.0199999999</c:v>
                </c:pt>
                <c:pt idx="10">
                  <c:v>515559.98999999993</c:v>
                </c:pt>
                <c:pt idx="11">
                  <c:v>617980.03000000026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400C-48CF-B8B9-55B09869127B}"/>
            </c:ext>
          </c:extLst>
        </c:ser>
        <c:marker val="1"/>
        <c:axId val="64565632"/>
        <c:axId val="64567168"/>
      </c:lineChart>
      <c:catAx>
        <c:axId val="6456563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64567168"/>
        <c:crosses val="autoZero"/>
        <c:auto val="1"/>
        <c:lblAlgn val="ctr"/>
        <c:lblOffset val="100"/>
      </c:catAx>
      <c:valAx>
        <c:axId val="64567168"/>
        <c:scaling>
          <c:orientation val="minMax"/>
          <c:min val="300000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6456563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900" b="1" i="0" u="none" strike="noStrik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layout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50</xdr:row>
      <xdr:rowOff>81915</xdr:rowOff>
    </xdr:from>
    <xdr:to>
      <xdr:col>14</xdr:col>
      <xdr:colOff>581025</xdr:colOff>
      <xdr:row>65</xdr:row>
      <xdr:rowOff>112395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66</xdr:row>
      <xdr:rowOff>0</xdr:rowOff>
    </xdr:from>
    <xdr:to>
      <xdr:col>14</xdr:col>
      <xdr:colOff>579120</xdr:colOff>
      <xdr:row>82</xdr:row>
      <xdr:rowOff>175260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50</xdr:row>
      <xdr:rowOff>81915</xdr:rowOff>
    </xdr:from>
    <xdr:to>
      <xdr:col>14</xdr:col>
      <xdr:colOff>581025</xdr:colOff>
      <xdr:row>65</xdr:row>
      <xdr:rowOff>112395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66</xdr:row>
      <xdr:rowOff>0</xdr:rowOff>
    </xdr:from>
    <xdr:to>
      <xdr:col>14</xdr:col>
      <xdr:colOff>579120</xdr:colOff>
      <xdr:row>82</xdr:row>
      <xdr:rowOff>175260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35982</xdr:colOff>
      <xdr:row>52</xdr:row>
      <xdr:rowOff>26458</xdr:rowOff>
    </xdr:from>
    <xdr:to>
      <xdr:col>14</xdr:col>
      <xdr:colOff>378882</xdr:colOff>
      <xdr:row>67</xdr:row>
      <xdr:rowOff>74083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23283</xdr:colOff>
      <xdr:row>68</xdr:row>
      <xdr:rowOff>135467</xdr:rowOff>
    </xdr:from>
    <xdr:to>
      <xdr:col>14</xdr:col>
      <xdr:colOff>377825</xdr:colOff>
      <xdr:row>83</xdr:row>
      <xdr:rowOff>130175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51</xdr:row>
      <xdr:rowOff>185208</xdr:rowOff>
    </xdr:from>
    <xdr:to>
      <xdr:col>14</xdr:col>
      <xdr:colOff>504825</xdr:colOff>
      <xdr:row>69</xdr:row>
      <xdr:rowOff>84666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27517</xdr:colOff>
      <xdr:row>70</xdr:row>
      <xdr:rowOff>178858</xdr:rowOff>
    </xdr:from>
    <xdr:to>
      <xdr:col>14</xdr:col>
      <xdr:colOff>465667</xdr:colOff>
      <xdr:row>87</xdr:row>
      <xdr:rowOff>169333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0%20DADES_SAV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 2020"/>
      <sheetName val="PAPER I CARTRÓ"/>
      <sheetName val="PAPER I CARTRÓ PORTA A PORTA"/>
      <sheetName val="ENVASOS"/>
      <sheetName val="VIDRE"/>
      <sheetName val="RMO"/>
      <sheetName val="FORM"/>
      <sheetName val="VERD"/>
      <sheetName val="Voluminosos"/>
      <sheetName val="DEIXALLERIES"/>
      <sheetName val="RESUM DEIXALLERIES"/>
      <sheetName val="MENSUAL DEIXALLERI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ables/table1.xml><?xml version="1.0" encoding="utf-8"?>
<table xmlns="http://schemas.openxmlformats.org/spreadsheetml/2006/main" id="1" name="Tabla2" displayName="Tabla2" ref="A4:O47" totalsRowShown="0" headerRowDxfId="60" dataDxfId="59" headerRowBorderDxfId="57" tableBorderDxfId="58" totalsRowBorderDxfId="56">
  <sortState ref="A5:O48">
    <sortCondition ref="A5:A48"/>
  </sortState>
  <tableColumns count="15">
    <tableColumn id="15" name="Núm." dataDxfId="75"/>
    <tableColumn id="1" name="Població" dataDxfId="74"/>
    <tableColumn id="2" name="Gener" dataDxfId="73"/>
    <tableColumn id="3" name="Febrer" dataDxfId="72"/>
    <tableColumn id="4" name="Març" dataDxfId="71"/>
    <tableColumn id="5" name="Abril" dataDxfId="70"/>
    <tableColumn id="6" name="Maig" dataDxfId="69"/>
    <tableColumn id="7" name="Juny" dataDxfId="68"/>
    <tableColumn id="8" name="Juliol" dataDxfId="67"/>
    <tableColumn id="9" name="Agost" dataDxfId="66"/>
    <tableColumn id="10" name="Setembre" dataDxfId="65"/>
    <tableColumn id="11" name="Octubre" dataDxfId="64"/>
    <tableColumn id="12" name="Novembre" dataDxfId="63"/>
    <tableColumn id="13" name="Desembre" dataDxfId="62"/>
    <tableColumn id="14" name="TOTAL" dataDxfId="61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id="2" name="Tabla25" displayName="Tabla25" ref="A4:O47" totalsRowShown="0" headerRowDxfId="40" dataDxfId="39" headerRowBorderDxfId="37" tableBorderDxfId="38" totalsRowBorderDxfId="36">
  <sortState ref="A5:O48">
    <sortCondition ref="A5:A48"/>
  </sortState>
  <tableColumns count="15">
    <tableColumn id="15" name="Núm." dataDxfId="55"/>
    <tableColumn id="1" name="Població" dataDxfId="54"/>
    <tableColumn id="2" name="Gener" dataDxfId="53"/>
    <tableColumn id="3" name="Febrer" dataDxfId="52"/>
    <tableColumn id="4" name="Març" dataDxfId="51"/>
    <tableColumn id="5" name="Abril" dataDxfId="50"/>
    <tableColumn id="6" name="Maig" dataDxfId="49"/>
    <tableColumn id="7" name="Juny" dataDxfId="48"/>
    <tableColumn id="8" name="Juliol" dataDxfId="47"/>
    <tableColumn id="9" name="Agost" dataDxfId="46"/>
    <tableColumn id="10" name="Setembre" dataDxfId="45"/>
    <tableColumn id="11" name="Octubre" dataDxfId="44"/>
    <tableColumn id="12" name="Novembre" dataDxfId="43"/>
    <tableColumn id="13" name="Desembre" dataDxfId="42"/>
    <tableColumn id="14" name="TOTAL" dataDxfId="41"/>
  </tableColumns>
  <tableStyleInfo name="TableStyleMedium6" showFirstColumn="0" showLastColumn="0" showRowStripes="1" showColumnStripes="0"/>
</table>
</file>

<file path=xl/tables/table3.xml><?xml version="1.0" encoding="utf-8"?>
<table xmlns="http://schemas.openxmlformats.org/spreadsheetml/2006/main" id="4" name="Tabla3" displayName="Tabla3" ref="A3:O48" totalsRowShown="0" headerRowDxfId="2" dataDxfId="1" tableBorderDxfId="0">
  <sortState ref="A4:O47">
    <sortCondition ref="A5:A48"/>
  </sortState>
  <tableColumns count="15">
    <tableColumn id="15" name="Núm. " dataDxfId="17"/>
    <tableColumn id="1" name="Població" dataDxfId="16"/>
    <tableColumn id="2" name="Gener" dataDxfId="15"/>
    <tableColumn id="3" name="Febrer" dataDxfId="14"/>
    <tableColumn id="4" name="Març" dataDxfId="13"/>
    <tableColumn id="5" name="Abril" dataDxfId="12"/>
    <tableColumn id="6" name="Maig" dataDxfId="11"/>
    <tableColumn id="7" name="Juny" dataDxfId="10"/>
    <tableColumn id="8" name="Juliol" dataDxfId="9"/>
    <tableColumn id="9" name="Agost" dataDxfId="8"/>
    <tableColumn id="10" name="Setembre" dataDxfId="7"/>
    <tableColumn id="11" name="Octubre" dataDxfId="6"/>
    <tableColumn id="12" name="Novembre" dataDxfId="5"/>
    <tableColumn id="13" name="Desembre" dataDxfId="4"/>
    <tableColumn id="14" name="TOTAL" dataDxfId="3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id="3" name="Tabla5" displayName="Tabla5" ref="A4:O49" totalsRowShown="0" headerRowDxfId="20" dataDxfId="19" tableBorderDxfId="18">
  <sortState ref="A5:O48">
    <sortCondition ref="A5:A48"/>
  </sortState>
  <tableColumns count="15">
    <tableColumn id="15" name="Núm." dataDxfId="35"/>
    <tableColumn id="1" name="Població" dataDxfId="34"/>
    <tableColumn id="2" name="Gener" dataDxfId="33"/>
    <tableColumn id="3" name="Febrer" dataDxfId="32"/>
    <tableColumn id="4" name="Març" dataDxfId="31"/>
    <tableColumn id="5" name="Abril" dataDxfId="30"/>
    <tableColumn id="6" name="Maig" dataDxfId="29"/>
    <tableColumn id="7" name="Juny" dataDxfId="28"/>
    <tableColumn id="8" name="Juliol" dataDxfId="27"/>
    <tableColumn id="9" name="Agost" dataDxfId="26"/>
    <tableColumn id="10" name="Setembre" dataDxfId="25"/>
    <tableColumn id="11" name="Octubre" dataDxfId="24"/>
    <tableColumn id="12" name="Novembre" dataDxfId="23"/>
    <tableColumn id="13" name="Desembre" dataDxfId="22"/>
    <tableColumn id="14" name="TOTAL" dataDxfId="21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0"/>
  <sheetViews>
    <sheetView showZeros="0" zoomScale="90" zoomScaleNormal="90" workbookViewId="0">
      <pane xSplit="2" topLeftCell="C1" activePane="topRight" state="frozen"/>
      <selection activeCell="H12" sqref="H12"/>
      <selection pane="topRight" activeCell="H12" sqref="H12"/>
    </sheetView>
  </sheetViews>
  <sheetFormatPr baseColWidth="10" defaultColWidth="11.453125" defaultRowHeight="14.5"/>
  <cols>
    <col min="1" max="1" width="5.6328125" style="1" customWidth="1"/>
    <col min="2" max="2" width="26.08984375" style="46" bestFit="1" customWidth="1"/>
    <col min="3" max="6" width="11.453125" style="3"/>
    <col min="7" max="10" width="11.453125" style="3" customWidth="1"/>
    <col min="11" max="11" width="11.90625" style="3" customWidth="1"/>
    <col min="12" max="12" width="11.453125" style="3" customWidth="1"/>
    <col min="13" max="13" width="12.54296875" style="3" customWidth="1"/>
    <col min="14" max="14" width="12.36328125" style="3" customWidth="1"/>
    <col min="15" max="15" width="11.453125" style="3"/>
    <col min="16" max="16384" width="11.453125" style="1"/>
  </cols>
  <sheetData>
    <row r="2" spans="1:15" ht="15.5">
      <c r="B2" s="2" t="s">
        <v>0</v>
      </c>
    </row>
    <row r="3" spans="1:15" ht="15" thickBot="1">
      <c r="B3" s="1"/>
      <c r="C3" s="4" t="s">
        <v>1</v>
      </c>
    </row>
    <row r="4" spans="1:15" ht="15" thickBot="1">
      <c r="A4" s="5" t="s">
        <v>2</v>
      </c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9" t="s">
        <v>15</v>
      </c>
      <c r="O4" s="5" t="s">
        <v>16</v>
      </c>
    </row>
    <row r="5" spans="1:15">
      <c r="A5" s="10">
        <v>1</v>
      </c>
      <c r="B5" s="11" t="s">
        <v>17</v>
      </c>
      <c r="C5" s="12">
        <f>519+15667.75</f>
        <v>16186.75</v>
      </c>
      <c r="D5" s="13">
        <v>12965.5</v>
      </c>
      <c r="E5" s="13">
        <v>15839.04</v>
      </c>
      <c r="F5" s="13">
        <f>255+18597.6</f>
        <v>18852.599999999999</v>
      </c>
      <c r="G5" s="13">
        <v>17290</v>
      </c>
      <c r="H5" s="13">
        <v>18536.11</v>
      </c>
      <c r="I5" s="13">
        <v>15777.91</v>
      </c>
      <c r="J5" s="13">
        <v>14534.2</v>
      </c>
      <c r="K5" s="13">
        <v>17076.91</v>
      </c>
      <c r="L5" s="13">
        <v>15913.29</v>
      </c>
      <c r="M5" s="13">
        <v>15801.28</v>
      </c>
      <c r="N5" s="14">
        <v>20862.22</v>
      </c>
      <c r="O5" s="15">
        <f>SUM(Tabla2[[#This Row],[Gener]:[Desembre]])</f>
        <v>199635.81</v>
      </c>
    </row>
    <row r="6" spans="1:15">
      <c r="A6" s="16">
        <v>2</v>
      </c>
      <c r="B6" s="17" t="s">
        <v>18</v>
      </c>
      <c r="C6" s="18">
        <f>320+12200</f>
        <v>12520</v>
      </c>
      <c r="D6" s="19">
        <v>10296</v>
      </c>
      <c r="E6" s="19">
        <v>13225</v>
      </c>
      <c r="F6" s="19">
        <f>265+14953.96</f>
        <v>15218.96</v>
      </c>
      <c r="G6" s="19">
        <v>14250</v>
      </c>
      <c r="H6" s="19">
        <v>15195</v>
      </c>
      <c r="I6" s="19">
        <v>14324.86</v>
      </c>
      <c r="J6" s="19">
        <v>14440</v>
      </c>
      <c r="K6" s="13">
        <v>15082.75</v>
      </c>
      <c r="L6" s="19">
        <v>11685.14</v>
      </c>
      <c r="M6" s="19">
        <v>11345</v>
      </c>
      <c r="N6" s="20">
        <v>15980</v>
      </c>
      <c r="O6" s="21">
        <f>SUM(Tabla2[[#This Row],[Gener]:[Desembre]])</f>
        <v>163562.71</v>
      </c>
    </row>
    <row r="7" spans="1:15">
      <c r="A7" s="16">
        <v>3</v>
      </c>
      <c r="B7" s="17" t="s">
        <v>19</v>
      </c>
      <c r="C7" s="18">
        <f>640+40440.92</f>
        <v>41080.92</v>
      </c>
      <c r="D7" s="19">
        <v>32268.78</v>
      </c>
      <c r="E7" s="19">
        <v>38451.019999999997</v>
      </c>
      <c r="F7" s="19">
        <f>285+37314.48</f>
        <v>37599.480000000003</v>
      </c>
      <c r="G7" s="19">
        <v>38713.870000000003</v>
      </c>
      <c r="H7" s="19">
        <v>43606.23</v>
      </c>
      <c r="I7" s="19">
        <v>39129.449999999997</v>
      </c>
      <c r="J7" s="19">
        <v>35887.85</v>
      </c>
      <c r="K7" s="13">
        <v>39661.230000000003</v>
      </c>
      <c r="L7" s="19">
        <v>36990.35</v>
      </c>
      <c r="M7" s="19">
        <v>40135.040000000001</v>
      </c>
      <c r="N7" s="20">
        <v>38943.68</v>
      </c>
      <c r="O7" s="21">
        <f>SUM(Tabla2[[#This Row],[Gener]:[Desembre]])</f>
        <v>462467.89999999991</v>
      </c>
    </row>
    <row r="8" spans="1:15">
      <c r="A8" s="16">
        <v>4</v>
      </c>
      <c r="B8" s="17" t="s">
        <v>20</v>
      </c>
      <c r="C8" s="18">
        <v>1324.26</v>
      </c>
      <c r="D8" s="19">
        <v>1249.1400000000001</v>
      </c>
      <c r="E8" s="19">
        <v>1156.3399999999999</v>
      </c>
      <c r="F8" s="19">
        <v>1370.01</v>
      </c>
      <c r="G8" s="19">
        <v>952.98</v>
      </c>
      <c r="H8" s="19">
        <v>1158.94</v>
      </c>
      <c r="I8" s="19">
        <v>2059.7399999999998</v>
      </c>
      <c r="J8" s="19">
        <v>1521.69</v>
      </c>
      <c r="K8" s="13">
        <v>1639.34</v>
      </c>
      <c r="L8" s="19">
        <v>1179.92</v>
      </c>
      <c r="M8" s="19">
        <v>653.09</v>
      </c>
      <c r="N8" s="20">
        <v>1188.6199999999999</v>
      </c>
      <c r="O8" s="21">
        <f>SUM(Tabla2[[#This Row],[Gener]:[Desembre]])</f>
        <v>15454.07</v>
      </c>
    </row>
    <row r="9" spans="1:15">
      <c r="A9" s="16">
        <v>5</v>
      </c>
      <c r="B9" s="17" t="s">
        <v>21</v>
      </c>
      <c r="C9" s="18">
        <f>920+15880.66</f>
        <v>16800.66</v>
      </c>
      <c r="D9" s="19">
        <v>15943.84</v>
      </c>
      <c r="E9" s="19">
        <v>19101.47</v>
      </c>
      <c r="F9" s="19">
        <f>470+19684.57</f>
        <v>20154.57</v>
      </c>
      <c r="G9" s="19">
        <v>15690.54</v>
      </c>
      <c r="H9" s="19">
        <v>19811.91</v>
      </c>
      <c r="I9" s="19">
        <v>19578.86</v>
      </c>
      <c r="J9" s="19">
        <v>13080</v>
      </c>
      <c r="K9" s="13">
        <v>21160</v>
      </c>
      <c r="L9" s="19">
        <v>20980</v>
      </c>
      <c r="M9" s="19">
        <v>18080</v>
      </c>
      <c r="N9" s="20">
        <v>24428</v>
      </c>
      <c r="O9" s="21">
        <f>SUM(Tabla2[[#This Row],[Gener]:[Desembre]])</f>
        <v>224809.85000000003</v>
      </c>
    </row>
    <row r="10" spans="1:15">
      <c r="A10" s="16">
        <v>6</v>
      </c>
      <c r="B10" s="17" t="s">
        <v>22</v>
      </c>
      <c r="C10" s="18">
        <f>2250.38+35395.94</f>
        <v>37646.32</v>
      </c>
      <c r="D10" s="19">
        <v>32430.67</v>
      </c>
      <c r="E10" s="19">
        <v>35027.68</v>
      </c>
      <c r="F10" s="19">
        <f>1010+33121.02</f>
        <v>34131.019999999997</v>
      </c>
      <c r="G10" s="19">
        <v>37393.339999999997</v>
      </c>
      <c r="H10" s="19">
        <v>38193.86</v>
      </c>
      <c r="I10" s="19">
        <v>40261.32</v>
      </c>
      <c r="J10" s="19">
        <v>34748.080000000002</v>
      </c>
      <c r="K10" s="13">
        <v>35468.36</v>
      </c>
      <c r="L10" s="19">
        <v>32390.31</v>
      </c>
      <c r="M10" s="19">
        <v>39527.43</v>
      </c>
      <c r="N10" s="20">
        <v>42115.76</v>
      </c>
      <c r="O10" s="21">
        <f>SUM(Tabla2[[#This Row],[Gener]:[Desembre]])</f>
        <v>439334.14999999997</v>
      </c>
    </row>
    <row r="11" spans="1:15">
      <c r="A11" s="16">
        <v>8</v>
      </c>
      <c r="B11" s="22" t="s">
        <v>23</v>
      </c>
      <c r="C11" s="18">
        <v>1906.11</v>
      </c>
      <c r="D11" s="19">
        <v>2051.6</v>
      </c>
      <c r="E11" s="19">
        <v>2091.92</v>
      </c>
      <c r="F11" s="19">
        <v>2282.7199999999998</v>
      </c>
      <c r="G11" s="19">
        <v>1467.38</v>
      </c>
      <c r="H11" s="19">
        <v>1919.05</v>
      </c>
      <c r="I11" s="19">
        <v>4295.16</v>
      </c>
      <c r="J11" s="19">
        <v>2840.38</v>
      </c>
      <c r="K11" s="13">
        <v>3043.06</v>
      </c>
      <c r="L11" s="19">
        <v>2001.71</v>
      </c>
      <c r="M11" s="19">
        <v>1154.79</v>
      </c>
      <c r="N11" s="20">
        <v>1744.16</v>
      </c>
      <c r="O11" s="23">
        <f>SUM(Tabla2[[#This Row],[Gener]:[Desembre]])</f>
        <v>26798.04</v>
      </c>
    </row>
    <row r="12" spans="1:15">
      <c r="A12" s="16">
        <v>9</v>
      </c>
      <c r="B12" s="24" t="s">
        <v>24</v>
      </c>
      <c r="C12" s="18"/>
      <c r="D12" s="19">
        <v>0</v>
      </c>
      <c r="E12" s="19"/>
      <c r="F12" s="19"/>
      <c r="G12" s="19"/>
      <c r="H12" s="19"/>
      <c r="I12" s="19"/>
      <c r="J12" s="19"/>
      <c r="K12" s="19"/>
      <c r="L12" s="19">
        <v>0</v>
      </c>
      <c r="M12" s="19">
        <v>0</v>
      </c>
      <c r="N12" s="19"/>
      <c r="O12" s="21">
        <f>SUM(Tabla2[[#This Row],[Gener]:[Desembre]])</f>
        <v>0</v>
      </c>
    </row>
    <row r="13" spans="1:15">
      <c r="A13" s="16">
        <v>10</v>
      </c>
      <c r="B13" s="11" t="s">
        <v>25</v>
      </c>
      <c r="C13" s="18">
        <f>1945+32417.51+600</f>
        <v>34962.509999999995</v>
      </c>
      <c r="D13" s="19">
        <v>25196.5</v>
      </c>
      <c r="E13" s="19">
        <v>27896.6</v>
      </c>
      <c r="F13" s="19">
        <f>780+31583.87</f>
        <v>32363.87</v>
      </c>
      <c r="G13" s="19">
        <v>28499.41</v>
      </c>
      <c r="H13" s="19">
        <v>33765.800000000003</v>
      </c>
      <c r="I13" s="19">
        <v>33774.35</v>
      </c>
      <c r="J13" s="19">
        <v>29168.25</v>
      </c>
      <c r="K13" s="13">
        <v>28973.79</v>
      </c>
      <c r="L13" s="19">
        <v>29656.82</v>
      </c>
      <c r="M13" s="19">
        <v>32121.53</v>
      </c>
      <c r="N13" s="20">
        <v>32386.34</v>
      </c>
      <c r="O13" s="15">
        <f>SUM(Tabla2[[#This Row],[Gener]:[Desembre]])</f>
        <v>368765.77000000008</v>
      </c>
    </row>
    <row r="14" spans="1:15">
      <c r="A14" s="16">
        <v>11</v>
      </c>
      <c r="B14" s="17" t="s">
        <v>26</v>
      </c>
      <c r="C14" s="18">
        <f>8480+51651.08+66800</f>
        <v>126931.08</v>
      </c>
      <c r="D14" s="19">
        <v>104653.59</v>
      </c>
      <c r="E14" s="19">
        <v>100978.01000000001</v>
      </c>
      <c r="F14" s="19">
        <f>9823.62+4865+88780</f>
        <v>103468.62</v>
      </c>
      <c r="G14" s="19">
        <v>103503.27</v>
      </c>
      <c r="H14" s="19">
        <v>107964.79000000001</v>
      </c>
      <c r="I14" s="19">
        <v>108049.06</v>
      </c>
      <c r="J14" s="19">
        <v>94842.68</v>
      </c>
      <c r="K14" s="13">
        <v>109940.81</v>
      </c>
      <c r="L14" s="19">
        <v>115684.48</v>
      </c>
      <c r="M14" s="19">
        <v>104389.16</v>
      </c>
      <c r="N14" s="20">
        <v>137553.34</v>
      </c>
      <c r="O14" s="21">
        <f>SUM(Tabla2[[#This Row],[Gener]:[Desembre]])</f>
        <v>1317958.8899999999</v>
      </c>
    </row>
    <row r="15" spans="1:15">
      <c r="A15" s="16">
        <v>12</v>
      </c>
      <c r="B15" s="17" t="s">
        <v>27</v>
      </c>
      <c r="C15" s="18">
        <f>249.12+3941.26</f>
        <v>4190.38</v>
      </c>
      <c r="D15" s="19">
        <v>5657</v>
      </c>
      <c r="E15" s="19">
        <v>4740.38</v>
      </c>
      <c r="F15" s="19">
        <f>240+3888.05</f>
        <v>4128.05</v>
      </c>
      <c r="G15" s="19">
        <v>2630.34</v>
      </c>
      <c r="H15" s="19">
        <v>4996.68</v>
      </c>
      <c r="I15" s="19">
        <v>5424.02</v>
      </c>
      <c r="J15" s="19">
        <v>4057.37</v>
      </c>
      <c r="K15" s="13">
        <v>4262.74</v>
      </c>
      <c r="L15" s="19">
        <v>2667.67</v>
      </c>
      <c r="M15" s="19">
        <v>3060.72</v>
      </c>
      <c r="N15" s="20">
        <v>3990.62</v>
      </c>
      <c r="O15" s="21">
        <f>SUM(Tabla2[[#This Row],[Gener]:[Desembre]])</f>
        <v>49805.97</v>
      </c>
    </row>
    <row r="16" spans="1:15">
      <c r="A16" s="16">
        <v>13</v>
      </c>
      <c r="B16" s="24" t="s">
        <v>28</v>
      </c>
      <c r="C16" s="18">
        <f>860+20425.55</f>
        <v>21285.55</v>
      </c>
      <c r="D16" s="19">
        <v>16802.28</v>
      </c>
      <c r="E16" s="19">
        <v>24965</v>
      </c>
      <c r="F16" s="19">
        <f>905+19800</f>
        <v>20705</v>
      </c>
      <c r="G16" s="19">
        <v>20620</v>
      </c>
      <c r="H16" s="19">
        <v>24720</v>
      </c>
      <c r="I16" s="19">
        <v>22180</v>
      </c>
      <c r="J16" s="19">
        <v>18220</v>
      </c>
      <c r="K16" s="13">
        <v>23560</v>
      </c>
      <c r="L16" s="19">
        <v>22720</v>
      </c>
      <c r="M16" s="19">
        <v>21060</v>
      </c>
      <c r="N16" s="20">
        <v>29180</v>
      </c>
      <c r="O16" s="21">
        <f>SUM(Tabla2[[#This Row],[Gener]:[Desembre]])</f>
        <v>266017.83</v>
      </c>
    </row>
    <row r="17" spans="1:15">
      <c r="A17" s="16">
        <v>14</v>
      </c>
      <c r="B17" s="17" t="s">
        <v>29</v>
      </c>
      <c r="C17" s="18"/>
      <c r="D17" s="19">
        <v>0</v>
      </c>
      <c r="E17" s="19"/>
      <c r="F17" s="19"/>
      <c r="G17" s="19"/>
      <c r="H17" s="19"/>
      <c r="I17" s="19"/>
      <c r="J17" s="19"/>
      <c r="K17" s="13"/>
      <c r="L17" s="19">
        <v>0</v>
      </c>
      <c r="M17" s="19">
        <v>0</v>
      </c>
      <c r="N17" s="20"/>
      <c r="O17" s="21">
        <f>SUM(Tabla2[[#This Row],[Gener]:[Desembre]])</f>
        <v>0</v>
      </c>
    </row>
    <row r="18" spans="1:15">
      <c r="A18" s="16">
        <v>15</v>
      </c>
      <c r="B18" s="17" t="s">
        <v>30</v>
      </c>
      <c r="C18" s="18">
        <f>426.96+12949.49</f>
        <v>13376.449999999999</v>
      </c>
      <c r="D18" s="19">
        <v>10936.93</v>
      </c>
      <c r="E18" s="19">
        <v>10694.36</v>
      </c>
      <c r="F18" s="19">
        <f>95+14865.79</f>
        <v>14960.79</v>
      </c>
      <c r="G18" s="19">
        <v>13200.97</v>
      </c>
      <c r="H18" s="19">
        <v>13256.52</v>
      </c>
      <c r="I18" s="19">
        <v>11907.58</v>
      </c>
      <c r="J18" s="19">
        <v>9797.7000000000007</v>
      </c>
      <c r="K18" s="13">
        <v>11430.91</v>
      </c>
      <c r="L18" s="19">
        <v>13656.31</v>
      </c>
      <c r="M18" s="19">
        <v>11604.51</v>
      </c>
      <c r="N18" s="20">
        <v>16584.939999999999</v>
      </c>
      <c r="O18" s="21">
        <f>SUM(Tabla2[[#This Row],[Gener]:[Desembre]])</f>
        <v>151407.97</v>
      </c>
    </row>
    <row r="19" spans="1:15">
      <c r="A19" s="16">
        <v>16</v>
      </c>
      <c r="B19" s="17" t="s">
        <v>31</v>
      </c>
      <c r="C19" s="18"/>
      <c r="D19" s="19">
        <v>0</v>
      </c>
      <c r="E19" s="19"/>
      <c r="F19" s="19"/>
      <c r="G19" s="19"/>
      <c r="H19" s="19"/>
      <c r="I19" s="19"/>
      <c r="J19" s="19"/>
      <c r="K19" s="13"/>
      <c r="L19" s="19">
        <v>0</v>
      </c>
      <c r="M19" s="19">
        <v>0</v>
      </c>
      <c r="N19" s="20"/>
      <c r="O19" s="21">
        <f>SUM(Tabla2[[#This Row],[Gener]:[Desembre]])</f>
        <v>0</v>
      </c>
    </row>
    <row r="20" spans="1:15">
      <c r="A20" s="16">
        <v>17</v>
      </c>
      <c r="B20" s="17" t="s">
        <v>32</v>
      </c>
      <c r="C20" s="18">
        <f>581.3+12542.5+520+298.33+1861.67</f>
        <v>15803.8</v>
      </c>
      <c r="D20" s="19">
        <v>14247.41</v>
      </c>
      <c r="E20" s="19">
        <v>14848.07</v>
      </c>
      <c r="F20" s="19">
        <f>183.5+24+1276+13335.85</f>
        <v>14819.35</v>
      </c>
      <c r="G20" s="19">
        <v>15667.05</v>
      </c>
      <c r="H20" s="19">
        <f>14888.51+600</f>
        <v>15488.51</v>
      </c>
      <c r="I20" s="19">
        <f>12971.1+841.54</f>
        <v>13812.64</v>
      </c>
      <c r="J20" s="19">
        <v>11793.04</v>
      </c>
      <c r="K20" s="13">
        <v>14673.84</v>
      </c>
      <c r="L20" s="19">
        <v>15118.77</v>
      </c>
      <c r="M20" s="19">
        <v>13658.59</v>
      </c>
      <c r="N20" s="20">
        <v>15321.07</v>
      </c>
      <c r="O20" s="21">
        <f>SUM(Tabla2[[#This Row],[Gener]:[Desembre]])</f>
        <v>175252.13999999998</v>
      </c>
    </row>
    <row r="21" spans="1:15">
      <c r="A21" s="16">
        <v>18</v>
      </c>
      <c r="B21" s="17" t="s">
        <v>33</v>
      </c>
      <c r="C21" s="18">
        <f>6185+12378.58+83417.68</f>
        <v>101981.26</v>
      </c>
      <c r="D21" s="19">
        <v>77769.919999999998</v>
      </c>
      <c r="E21" s="19">
        <v>83715.040000000008</v>
      </c>
      <c r="F21" s="19">
        <f>1605+67560+12140.55</f>
        <v>81305.55</v>
      </c>
      <c r="G21" s="19">
        <v>79278.67</v>
      </c>
      <c r="H21" s="19">
        <v>88279.18</v>
      </c>
      <c r="I21" s="19">
        <v>87858.66</v>
      </c>
      <c r="J21" s="19">
        <v>79374.67</v>
      </c>
      <c r="K21" s="13">
        <v>83048.33</v>
      </c>
      <c r="L21" s="19">
        <v>80577.540000000008</v>
      </c>
      <c r="M21" s="19">
        <v>88881.8</v>
      </c>
      <c r="N21" s="20">
        <v>101283.11</v>
      </c>
      <c r="O21" s="21">
        <f>SUM(Tabla2[[#This Row],[Gener]:[Desembre]])</f>
        <v>1033353.73</v>
      </c>
    </row>
    <row r="22" spans="1:15">
      <c r="A22" s="16">
        <v>19</v>
      </c>
      <c r="B22" s="17" t="s">
        <v>34</v>
      </c>
      <c r="C22" s="18">
        <f>1075+16627+1058.07</f>
        <v>18760.07</v>
      </c>
      <c r="D22" s="19">
        <v>13779.94</v>
      </c>
      <c r="E22" s="19">
        <v>15035</v>
      </c>
      <c r="F22" s="19">
        <f>250+13800+1197.16</f>
        <v>15247.16</v>
      </c>
      <c r="G22" s="19">
        <v>14303.74</v>
      </c>
      <c r="H22" s="19">
        <v>16496.7</v>
      </c>
      <c r="I22" s="19">
        <v>14083.62</v>
      </c>
      <c r="J22" s="19">
        <v>10885.77</v>
      </c>
      <c r="K22" s="13">
        <v>12884.54</v>
      </c>
      <c r="L22" s="19">
        <v>13274.43</v>
      </c>
      <c r="M22" s="19">
        <v>12935.48</v>
      </c>
      <c r="N22" s="20">
        <v>17488.189999999999</v>
      </c>
      <c r="O22" s="21">
        <f>SUM(Tabla2[[#This Row],[Gener]:[Desembre]])</f>
        <v>175174.64</v>
      </c>
    </row>
    <row r="23" spans="1:15">
      <c r="A23" s="16">
        <v>20</v>
      </c>
      <c r="B23" s="17" t="s">
        <v>35</v>
      </c>
      <c r="C23" s="18"/>
      <c r="D23" s="19">
        <v>0</v>
      </c>
      <c r="E23" s="19"/>
      <c r="F23" s="19"/>
      <c r="G23" s="19"/>
      <c r="H23" s="19"/>
      <c r="I23" s="19"/>
      <c r="J23" s="19"/>
      <c r="K23" s="13"/>
      <c r="L23" s="19">
        <v>0</v>
      </c>
      <c r="M23" s="19">
        <v>0</v>
      </c>
      <c r="N23" s="20"/>
      <c r="O23" s="21">
        <f>SUM(Tabla2[[#This Row],[Gener]:[Desembre]])</f>
        <v>0</v>
      </c>
    </row>
    <row r="24" spans="1:15">
      <c r="A24" s="16">
        <v>21</v>
      </c>
      <c r="B24" s="17" t="s">
        <v>36</v>
      </c>
      <c r="C24" s="18">
        <v>714.8</v>
      </c>
      <c r="D24" s="19">
        <v>777.96</v>
      </c>
      <c r="E24" s="19">
        <v>866.08</v>
      </c>
      <c r="F24" s="19">
        <v>1075.8900000000001</v>
      </c>
      <c r="G24" s="19">
        <v>829.78</v>
      </c>
      <c r="H24" s="19">
        <v>978.07</v>
      </c>
      <c r="I24" s="19">
        <v>2111.64</v>
      </c>
      <c r="J24" s="19">
        <v>1318.7</v>
      </c>
      <c r="K24" s="13">
        <v>1464.69</v>
      </c>
      <c r="L24" s="19">
        <v>926.03</v>
      </c>
      <c r="M24" s="19">
        <v>597.82000000000005</v>
      </c>
      <c r="N24" s="20">
        <v>931.67</v>
      </c>
      <c r="O24" s="21">
        <f>SUM(Tabla2[[#This Row],[Gener]:[Desembre]])</f>
        <v>12593.130000000001</v>
      </c>
    </row>
    <row r="25" spans="1:15">
      <c r="A25" s="16">
        <v>22</v>
      </c>
      <c r="B25" s="17" t="s">
        <v>37</v>
      </c>
      <c r="C25" s="18">
        <f>916.35+28169.45+440</f>
        <v>29525.8</v>
      </c>
      <c r="D25" s="19">
        <v>19368.219999999998</v>
      </c>
      <c r="E25" s="19">
        <v>23638.639999999999</v>
      </c>
      <c r="F25" s="19">
        <f>830+24636.09</f>
        <v>25466.09</v>
      </c>
      <c r="G25" s="19">
        <v>25770.5</v>
      </c>
      <c r="H25" s="19">
        <v>29452.22</v>
      </c>
      <c r="I25" s="19">
        <v>24774.079999999998</v>
      </c>
      <c r="J25" s="19">
        <v>21796.959999999999</v>
      </c>
      <c r="K25" s="13">
        <v>21649.1</v>
      </c>
      <c r="L25" s="19">
        <v>23933.11</v>
      </c>
      <c r="M25" s="19">
        <v>26806.67</v>
      </c>
      <c r="N25" s="20">
        <v>30141.23</v>
      </c>
      <c r="O25" s="21">
        <f>SUM(Tabla2[[#This Row],[Gener]:[Desembre]])</f>
        <v>302322.61999999994</v>
      </c>
    </row>
    <row r="26" spans="1:15">
      <c r="A26" s="16">
        <v>23</v>
      </c>
      <c r="B26" s="24" t="s">
        <v>38</v>
      </c>
      <c r="C26" s="18">
        <f>600+13420.96</f>
        <v>14020.96</v>
      </c>
      <c r="D26" s="19">
        <v>10964.449999999999</v>
      </c>
      <c r="E26" s="19">
        <v>16399.05</v>
      </c>
      <c r="F26" s="19">
        <f>500+16336.71</f>
        <v>16836.71</v>
      </c>
      <c r="G26" s="19">
        <v>14433.04</v>
      </c>
      <c r="H26" s="19">
        <v>18094.010000000002</v>
      </c>
      <c r="I26" s="19">
        <v>16835.260000000002</v>
      </c>
      <c r="J26" s="19">
        <v>12130.77</v>
      </c>
      <c r="K26" s="13">
        <v>16061.4</v>
      </c>
      <c r="L26" s="19">
        <v>13679.550000000001</v>
      </c>
      <c r="M26" s="19">
        <v>12453.77</v>
      </c>
      <c r="N26" s="20">
        <v>19723.61</v>
      </c>
      <c r="O26" s="21">
        <f>SUM(Tabla2[[#This Row],[Gener]:[Desembre]])</f>
        <v>181632.58000000002</v>
      </c>
    </row>
    <row r="27" spans="1:15">
      <c r="A27" s="16">
        <v>24</v>
      </c>
      <c r="B27" s="24" t="s">
        <v>39</v>
      </c>
      <c r="C27" s="25">
        <f>546.8</f>
        <v>546.79999999999995</v>
      </c>
      <c r="D27" s="26">
        <v>460.12</v>
      </c>
      <c r="E27" s="26">
        <v>478.33</v>
      </c>
      <c r="F27" s="26">
        <v>481.1</v>
      </c>
      <c r="G27" s="26">
        <v>308.86</v>
      </c>
      <c r="H27" s="26">
        <v>464.62</v>
      </c>
      <c r="I27" s="27">
        <v>599.88</v>
      </c>
      <c r="J27" s="26">
        <v>558.09</v>
      </c>
      <c r="K27" s="13">
        <v>445.67</v>
      </c>
      <c r="L27" s="19">
        <v>470.24</v>
      </c>
      <c r="M27" s="19">
        <v>439.71</v>
      </c>
      <c r="N27" s="20">
        <v>447.57</v>
      </c>
      <c r="O27" s="21">
        <f>SUM(Tabla2[[#This Row],[Gener]:[Desembre]])</f>
        <v>5700.99</v>
      </c>
    </row>
    <row r="28" spans="1:15">
      <c r="A28" s="16">
        <v>25</v>
      </c>
      <c r="B28" s="17" t="s">
        <v>40</v>
      </c>
      <c r="C28" s="18">
        <f>155+39858.7</f>
        <v>40013.699999999997</v>
      </c>
      <c r="D28" s="19">
        <v>31163.77</v>
      </c>
      <c r="E28" s="19">
        <v>31249.82</v>
      </c>
      <c r="F28" s="19">
        <f>905+36221.86</f>
        <v>37126.86</v>
      </c>
      <c r="G28" s="19">
        <v>31571.67</v>
      </c>
      <c r="H28" s="19">
        <v>40977.089999999997</v>
      </c>
      <c r="I28" s="19">
        <v>36065.019999999997</v>
      </c>
      <c r="J28" s="19">
        <v>29503.88</v>
      </c>
      <c r="K28" s="13">
        <v>38218.17</v>
      </c>
      <c r="L28" s="19">
        <v>36118.980000000003</v>
      </c>
      <c r="M28" s="19">
        <v>33642.04</v>
      </c>
      <c r="N28" s="20">
        <v>42842.32</v>
      </c>
      <c r="O28" s="21">
        <f>SUM(Tabla2[[#This Row],[Gener]:[Desembre]])</f>
        <v>428493.31999999995</v>
      </c>
    </row>
    <row r="29" spans="1:15">
      <c r="A29" s="16">
        <v>26</v>
      </c>
      <c r="B29" s="24" t="s">
        <v>41</v>
      </c>
      <c r="C29" s="18"/>
      <c r="D29" s="19">
        <v>0</v>
      </c>
      <c r="E29" s="19"/>
      <c r="F29" s="19"/>
      <c r="G29" s="19"/>
      <c r="H29" s="19"/>
      <c r="I29" s="19"/>
      <c r="J29" s="19"/>
      <c r="K29" s="13"/>
      <c r="L29" s="19">
        <v>0</v>
      </c>
      <c r="M29" s="19">
        <v>0</v>
      </c>
      <c r="N29" s="20"/>
      <c r="O29" s="21">
        <f>SUM(Tabla2[[#This Row],[Gener]:[Desembre]])</f>
        <v>0</v>
      </c>
    </row>
    <row r="30" spans="1:15">
      <c r="A30" s="16">
        <v>27</v>
      </c>
      <c r="B30" s="24" t="s">
        <v>42</v>
      </c>
      <c r="C30" s="25"/>
      <c r="D30" s="26">
        <v>0</v>
      </c>
      <c r="E30" s="26"/>
      <c r="F30" s="26"/>
      <c r="G30" s="19"/>
      <c r="H30" s="19"/>
      <c r="I30" s="19"/>
      <c r="J30" s="19"/>
      <c r="K30" s="13"/>
      <c r="L30" s="19">
        <v>0</v>
      </c>
      <c r="M30" s="19">
        <v>0</v>
      </c>
      <c r="N30" s="20"/>
      <c r="O30" s="21">
        <f>SUM(Tabla2[[#This Row],[Gener]:[Desembre]])</f>
        <v>0</v>
      </c>
    </row>
    <row r="31" spans="1:15">
      <c r="A31" s="16">
        <v>28</v>
      </c>
      <c r="B31" s="24" t="s">
        <v>43</v>
      </c>
      <c r="C31" s="18">
        <f>515+12628.94</f>
        <v>13143.94</v>
      </c>
      <c r="D31" s="19">
        <v>12085.34</v>
      </c>
      <c r="E31" s="19">
        <v>15208.25</v>
      </c>
      <c r="F31" s="19">
        <f>268+13895.54</f>
        <v>14163.54</v>
      </c>
      <c r="G31" s="19">
        <v>15681.69</v>
      </c>
      <c r="H31" s="19">
        <v>16539.650000000001</v>
      </c>
      <c r="I31" s="19">
        <v>14288.539999999999</v>
      </c>
      <c r="J31" s="19">
        <v>13441.35</v>
      </c>
      <c r="K31" s="13">
        <v>13227.15</v>
      </c>
      <c r="L31" s="19">
        <v>14497.71</v>
      </c>
      <c r="M31" s="19">
        <v>12058.85</v>
      </c>
      <c r="N31" s="20">
        <v>15247.49</v>
      </c>
      <c r="O31" s="21">
        <f>SUM(Tabla2[[#This Row],[Gener]:[Desembre]])</f>
        <v>169583.5</v>
      </c>
    </row>
    <row r="32" spans="1:15">
      <c r="A32" s="16">
        <v>29</v>
      </c>
      <c r="B32" s="24" t="s">
        <v>44</v>
      </c>
      <c r="C32" s="18">
        <v>144.13</v>
      </c>
      <c r="D32" s="19">
        <v>138.94999999999999</v>
      </c>
      <c r="E32" s="19">
        <v>145.66999999999999</v>
      </c>
      <c r="F32" s="19">
        <v>194.47</v>
      </c>
      <c r="G32" s="19">
        <v>229.86</v>
      </c>
      <c r="H32" s="19">
        <v>243.94</v>
      </c>
      <c r="I32" s="19">
        <v>397.53</v>
      </c>
      <c r="J32" s="19">
        <v>339.23</v>
      </c>
      <c r="K32" s="13">
        <v>372.9</v>
      </c>
      <c r="L32" s="19">
        <v>252.34</v>
      </c>
      <c r="M32" s="19">
        <v>154.30000000000001</v>
      </c>
      <c r="N32" s="20">
        <v>175.54</v>
      </c>
      <c r="O32" s="21">
        <f>SUM(Tabla2[[#This Row],[Gener]:[Desembre]])</f>
        <v>2788.86</v>
      </c>
    </row>
    <row r="33" spans="1:15">
      <c r="A33" s="16">
        <v>30</v>
      </c>
      <c r="B33" s="24" t="s">
        <v>45</v>
      </c>
      <c r="C33" s="18"/>
      <c r="D33" s="19">
        <v>0</v>
      </c>
      <c r="E33" s="19"/>
      <c r="F33" s="19"/>
      <c r="G33" s="19"/>
      <c r="H33" s="19"/>
      <c r="I33" s="19"/>
      <c r="J33" s="19"/>
      <c r="K33" s="13"/>
      <c r="L33" s="19">
        <v>0</v>
      </c>
      <c r="M33" s="19">
        <v>0</v>
      </c>
      <c r="N33" s="20"/>
      <c r="O33" s="21">
        <f>SUM(Tabla2[[#This Row],[Gener]:[Desembre]])</f>
        <v>0</v>
      </c>
    </row>
    <row r="34" spans="1:15">
      <c r="A34" s="16">
        <v>31</v>
      </c>
      <c r="B34" s="24" t="s">
        <v>46</v>
      </c>
      <c r="C34" s="18">
        <f>80+2522.12</f>
        <v>2602.12</v>
      </c>
      <c r="D34" s="19">
        <v>2423</v>
      </c>
      <c r="E34" s="19">
        <v>2055.38</v>
      </c>
      <c r="F34" s="19">
        <f>46+3088.72</f>
        <v>3134.72</v>
      </c>
      <c r="G34" s="19">
        <v>2010.6899999999998</v>
      </c>
      <c r="H34" s="19">
        <v>1908.41</v>
      </c>
      <c r="I34" s="19">
        <v>1753.86</v>
      </c>
      <c r="J34" s="19">
        <v>1631.79</v>
      </c>
      <c r="K34" s="13">
        <v>1046.9000000000001</v>
      </c>
      <c r="L34" s="19">
        <v>1571.25</v>
      </c>
      <c r="M34" s="19">
        <v>3248.04</v>
      </c>
      <c r="N34" s="20">
        <v>2225.52</v>
      </c>
      <c r="O34" s="21">
        <f>SUM(Tabla2[[#This Row],[Gener]:[Desembre]])</f>
        <v>25611.680000000004</v>
      </c>
    </row>
    <row r="35" spans="1:15">
      <c r="A35" s="16">
        <v>32</v>
      </c>
      <c r="B35" s="24" t="s">
        <v>47</v>
      </c>
      <c r="C35" s="18">
        <f>976.47+20922.23</f>
        <v>21898.7</v>
      </c>
      <c r="D35" s="19">
        <v>15690.97</v>
      </c>
      <c r="E35" s="19">
        <v>19077.86</v>
      </c>
      <c r="F35" s="19">
        <f>400+21774.73</f>
        <v>22174.73</v>
      </c>
      <c r="G35" s="19">
        <v>19789.23</v>
      </c>
      <c r="H35" s="19">
        <v>22765.05</v>
      </c>
      <c r="I35" s="19">
        <v>22100.74</v>
      </c>
      <c r="J35" s="19">
        <v>16406.98</v>
      </c>
      <c r="K35" s="13">
        <v>21607.599999999999</v>
      </c>
      <c r="L35" s="19">
        <v>19531.849999999999</v>
      </c>
      <c r="M35" s="19">
        <v>16012.39</v>
      </c>
      <c r="N35" s="20">
        <v>22206.74</v>
      </c>
      <c r="O35" s="21">
        <f>SUM(Tabla2[[#This Row],[Gener]:[Desembre]])</f>
        <v>239262.84000000003</v>
      </c>
    </row>
    <row r="36" spans="1:15">
      <c r="A36" s="16">
        <v>33</v>
      </c>
      <c r="B36" s="17" t="s">
        <v>48</v>
      </c>
      <c r="C36" s="18"/>
      <c r="D36" s="19">
        <v>0</v>
      </c>
      <c r="E36" s="19"/>
      <c r="F36" s="19"/>
      <c r="G36" s="19"/>
      <c r="H36" s="19"/>
      <c r="I36" s="19"/>
      <c r="J36" s="19"/>
      <c r="K36" s="13"/>
      <c r="L36" s="19">
        <v>0</v>
      </c>
      <c r="M36" s="19">
        <v>0</v>
      </c>
      <c r="N36" s="20"/>
      <c r="O36" s="21">
        <f>SUM(Tabla2[[#This Row],[Gener]:[Desembre]])</f>
        <v>0</v>
      </c>
    </row>
    <row r="37" spans="1:15">
      <c r="A37" s="16">
        <v>34</v>
      </c>
      <c r="B37" s="17" t="s">
        <v>49</v>
      </c>
      <c r="C37" s="18">
        <f>520+6332.86</f>
        <v>6852.86</v>
      </c>
      <c r="D37" s="19">
        <v>7640.94</v>
      </c>
      <c r="E37" s="19">
        <v>6434.21</v>
      </c>
      <c r="F37" s="19">
        <f>145+5750.17</f>
        <v>5895.17</v>
      </c>
      <c r="G37" s="19">
        <v>4305.7699999999995</v>
      </c>
      <c r="H37" s="19">
        <v>5994.54</v>
      </c>
      <c r="I37" s="19">
        <v>9315</v>
      </c>
      <c r="J37" s="19">
        <v>5037.6899999999996</v>
      </c>
      <c r="K37" s="13">
        <v>6704.06</v>
      </c>
      <c r="L37" s="19">
        <v>6743.1</v>
      </c>
      <c r="M37" s="19">
        <v>4422.4799999999996</v>
      </c>
      <c r="N37" s="20">
        <v>6061.83</v>
      </c>
      <c r="O37" s="21">
        <f>SUM(Tabla2[[#This Row],[Gener]:[Desembre]])</f>
        <v>75407.649999999994</v>
      </c>
    </row>
    <row r="38" spans="1:15">
      <c r="A38" s="16">
        <v>35</v>
      </c>
      <c r="B38" s="17" t="s">
        <v>50</v>
      </c>
      <c r="C38" s="18">
        <f>140+6267.8</f>
        <v>6407.8</v>
      </c>
      <c r="D38" s="19">
        <v>6125.5099999999993</v>
      </c>
      <c r="E38" s="19">
        <v>6340.76</v>
      </c>
      <c r="F38" s="19">
        <f>130+7760.74</f>
        <v>7890.74</v>
      </c>
      <c r="G38" s="19">
        <v>7781.57</v>
      </c>
      <c r="H38" s="19">
        <v>7124.0899999999992</v>
      </c>
      <c r="I38" s="19">
        <v>8975.82</v>
      </c>
      <c r="J38" s="19">
        <v>6472.81</v>
      </c>
      <c r="K38" s="13">
        <v>7769.31</v>
      </c>
      <c r="L38" s="19">
        <v>7327.46</v>
      </c>
      <c r="M38" s="19">
        <v>6118.6</v>
      </c>
      <c r="N38" s="20">
        <v>8999.7100000000009</v>
      </c>
      <c r="O38" s="21">
        <f>SUM(Tabla2[[#This Row],[Gener]:[Desembre]])</f>
        <v>87334.180000000008</v>
      </c>
    </row>
    <row r="39" spans="1:15">
      <c r="A39" s="16">
        <v>36</v>
      </c>
      <c r="B39" s="17" t="s">
        <v>51</v>
      </c>
      <c r="C39" s="18">
        <f>119.41+1812.29</f>
        <v>1931.7</v>
      </c>
      <c r="D39" s="19">
        <v>1490.82</v>
      </c>
      <c r="E39" s="19">
        <v>1576.4299999999998</v>
      </c>
      <c r="F39" s="19">
        <f>50+1749.02</f>
        <v>1799.02</v>
      </c>
      <c r="G39" s="19">
        <v>1707.74</v>
      </c>
      <c r="H39" s="19">
        <v>3061.36</v>
      </c>
      <c r="I39" s="19">
        <v>1506.35</v>
      </c>
      <c r="J39" s="19">
        <v>1955.11</v>
      </c>
      <c r="K39" s="13">
        <v>2373.33</v>
      </c>
      <c r="L39" s="19">
        <v>2022.33</v>
      </c>
      <c r="M39" s="19">
        <v>1823.51</v>
      </c>
      <c r="N39" s="20">
        <v>2082.9700000000003</v>
      </c>
      <c r="O39" s="21">
        <f>SUM(Tabla2[[#This Row],[Gener]:[Desembre]])</f>
        <v>23330.670000000002</v>
      </c>
    </row>
    <row r="40" spans="1:15">
      <c r="A40" s="16">
        <v>37</v>
      </c>
      <c r="B40" s="17" t="s">
        <v>52</v>
      </c>
      <c r="C40" s="18">
        <f>890+11396.02</f>
        <v>12286.02</v>
      </c>
      <c r="D40" s="19">
        <v>10788.87</v>
      </c>
      <c r="E40" s="19">
        <v>12848.41</v>
      </c>
      <c r="F40" s="19">
        <f>317.5+10199.04</f>
        <v>10516.54</v>
      </c>
      <c r="G40" s="19">
        <v>10798.1</v>
      </c>
      <c r="H40" s="19">
        <v>13602.9</v>
      </c>
      <c r="I40" s="19">
        <v>10265.25</v>
      </c>
      <c r="J40" s="19">
        <v>10401.290000000001</v>
      </c>
      <c r="K40" s="13">
        <v>13081.02</v>
      </c>
      <c r="L40" s="19">
        <v>11753.94</v>
      </c>
      <c r="M40" s="19">
        <v>10210.969999999999</v>
      </c>
      <c r="N40" s="20">
        <v>14870.3</v>
      </c>
      <c r="O40" s="21">
        <f>SUM(Tabla2[[#This Row],[Gener]:[Desembre]])</f>
        <v>141423.61000000002</v>
      </c>
    </row>
    <row r="41" spans="1:15">
      <c r="A41" s="16">
        <v>38</v>
      </c>
      <c r="B41" s="17" t="s">
        <v>53</v>
      </c>
      <c r="C41" s="18">
        <v>2531.92</v>
      </c>
      <c r="D41" s="19">
        <v>1795.74</v>
      </c>
      <c r="E41" s="19">
        <v>1769.05</v>
      </c>
      <c r="F41" s="19">
        <v>1833.07</v>
      </c>
      <c r="G41" s="19">
        <v>1669.83</v>
      </c>
      <c r="H41" s="19">
        <v>2694.16</v>
      </c>
      <c r="I41" s="19">
        <v>2311.9699999999998</v>
      </c>
      <c r="J41" s="19">
        <v>2472.17</v>
      </c>
      <c r="K41" s="13">
        <v>2601.15</v>
      </c>
      <c r="L41" s="19">
        <v>1891.69</v>
      </c>
      <c r="M41" s="19">
        <v>1750.32</v>
      </c>
      <c r="N41" s="20">
        <v>2625.5</v>
      </c>
      <c r="O41" s="21">
        <f>SUM(Tabla2[[#This Row],[Gener]:[Desembre]])</f>
        <v>25946.57</v>
      </c>
    </row>
    <row r="42" spans="1:15">
      <c r="A42" s="16">
        <v>39</v>
      </c>
      <c r="B42" s="17" t="s">
        <v>54</v>
      </c>
      <c r="C42" s="25">
        <f>1222.19</f>
        <v>1222.19</v>
      </c>
      <c r="D42" s="26">
        <v>1055.03</v>
      </c>
      <c r="E42" s="26">
        <v>1193.3599999999999</v>
      </c>
      <c r="F42" s="26">
        <v>1315.81</v>
      </c>
      <c r="G42" s="26">
        <v>1117.81</v>
      </c>
      <c r="H42" s="26">
        <v>2199.1799999999998</v>
      </c>
      <c r="I42" s="27">
        <v>1823.71</v>
      </c>
      <c r="J42" s="26">
        <v>1170.73</v>
      </c>
      <c r="K42" s="13">
        <v>1958.27</v>
      </c>
      <c r="L42" s="19">
        <v>1053.7</v>
      </c>
      <c r="M42" s="19">
        <v>1910.99</v>
      </c>
      <c r="N42" s="20">
        <v>1732.02</v>
      </c>
      <c r="O42" s="21">
        <f>SUM(Tabla2[[#This Row],[Gener]:[Desembre]])</f>
        <v>17752.8</v>
      </c>
    </row>
    <row r="43" spans="1:15">
      <c r="A43" s="16">
        <v>40</v>
      </c>
      <c r="B43" s="17" t="s">
        <v>55</v>
      </c>
      <c r="C43" s="18">
        <v>360.44</v>
      </c>
      <c r="D43" s="19">
        <v>251.47</v>
      </c>
      <c r="E43" s="19">
        <v>353.79</v>
      </c>
      <c r="F43" s="19">
        <v>287.79000000000002</v>
      </c>
      <c r="G43" s="19">
        <v>172.31</v>
      </c>
      <c r="H43" s="19"/>
      <c r="I43" s="19">
        <v>328.17</v>
      </c>
      <c r="J43" s="19">
        <v>391.78</v>
      </c>
      <c r="K43" s="13">
        <v>292.63</v>
      </c>
      <c r="L43" s="19">
        <v>250</v>
      </c>
      <c r="M43" s="19">
        <v>281.11</v>
      </c>
      <c r="N43" s="20">
        <v>401.9</v>
      </c>
      <c r="O43" s="21">
        <f>SUM(Tabla2[[#This Row],[Gener]:[Desembre]])</f>
        <v>3371.3900000000003</v>
      </c>
    </row>
    <row r="44" spans="1:15" ht="15" thickBot="1">
      <c r="A44" s="28">
        <v>41</v>
      </c>
      <c r="B44" s="29" t="s">
        <v>56</v>
      </c>
      <c r="C44" s="12"/>
      <c r="D44" s="13">
        <v>0</v>
      </c>
      <c r="E44" s="13"/>
      <c r="F44" s="30"/>
      <c r="G44" s="30"/>
      <c r="H44" s="30"/>
      <c r="I44" s="30"/>
      <c r="J44" s="13"/>
      <c r="K44" s="13"/>
      <c r="L44" s="30">
        <v>0</v>
      </c>
      <c r="M44" s="30">
        <v>0</v>
      </c>
      <c r="N44" s="31"/>
      <c r="O44" s="23">
        <f>SUM(Tabla2[[#This Row],[Gener]:[Desembre]])</f>
        <v>0</v>
      </c>
    </row>
    <row r="45" spans="1:15" s="4" customFormat="1" ht="15" thickBot="1">
      <c r="A45" s="32"/>
      <c r="B45" s="6" t="s">
        <v>57</v>
      </c>
      <c r="C45" s="7">
        <f t="shared" ref="C45:L45" si="0">SUBTOTAL(109,C5:C44)</f>
        <v>618959.99999999977</v>
      </c>
      <c r="D45" s="8">
        <f t="shared" si="0"/>
        <v>498470.26</v>
      </c>
      <c r="E45" s="8">
        <f t="shared" si="0"/>
        <v>547400.02000000014</v>
      </c>
      <c r="F45" s="8">
        <f t="shared" si="0"/>
        <v>566800</v>
      </c>
      <c r="G45" s="8">
        <f t="shared" si="0"/>
        <v>541640.00999999989</v>
      </c>
      <c r="H45" s="8">
        <f t="shared" si="0"/>
        <v>609488.57000000007</v>
      </c>
      <c r="I45" s="8">
        <f t="shared" si="0"/>
        <v>585970.05000000005</v>
      </c>
      <c r="J45" s="8">
        <f t="shared" si="0"/>
        <v>500221.00999999995</v>
      </c>
      <c r="K45" s="8">
        <f t="shared" si="0"/>
        <v>570779.9600000002</v>
      </c>
      <c r="L45" s="8">
        <f t="shared" si="0"/>
        <v>556520.01999999979</v>
      </c>
      <c r="M45" s="8">
        <f>SUM(M5:M44)</f>
        <v>546339.98999999976</v>
      </c>
      <c r="N45" s="8">
        <f>SUM(N5:N44)</f>
        <v>669765.96999999986</v>
      </c>
      <c r="O45" s="5">
        <f>SUBTOTAL(109,O5:O44)</f>
        <v>6812355.8600000003</v>
      </c>
    </row>
    <row r="46" spans="1:15" ht="15" thickBot="1">
      <c r="A46" s="33"/>
      <c r="B46" s="34" t="s">
        <v>58</v>
      </c>
      <c r="C46" s="35">
        <v>462880.01</v>
      </c>
      <c r="D46" s="36">
        <v>369379.99999999994</v>
      </c>
      <c r="E46" s="36">
        <v>408280.00000000012</v>
      </c>
      <c r="F46" s="36">
        <v>451329.96</v>
      </c>
      <c r="G46" s="36">
        <v>478719.99000000017</v>
      </c>
      <c r="H46" s="36">
        <v>468610.00999999995</v>
      </c>
      <c r="I46" s="36">
        <v>546079.96</v>
      </c>
      <c r="J46" s="36">
        <v>473560.00999999995</v>
      </c>
      <c r="K46" s="36">
        <v>511110</v>
      </c>
      <c r="L46" s="36">
        <v>539325.00999999978</v>
      </c>
      <c r="M46" s="36">
        <v>500540.00999999978</v>
      </c>
      <c r="N46" s="37">
        <v>619179.56999999983</v>
      </c>
      <c r="O46" s="38">
        <f>SUM(Tabla2[[#This Row],[Gener]:[Desembre]])</f>
        <v>5828994.5299999993</v>
      </c>
    </row>
    <row r="47" spans="1:15">
      <c r="A47" s="39"/>
      <c r="B47" s="40" t="s">
        <v>59</v>
      </c>
      <c r="C47" s="41">
        <f>(C45/C46)-1</f>
        <v>0.3371931961373742</v>
      </c>
      <c r="D47" s="41">
        <f>(D45/D46)-1</f>
        <v>0.34947820672478236</v>
      </c>
      <c r="E47" s="41">
        <f t="shared" ref="E47:O47" si="1">(E45/E46)-1</f>
        <v>0.34074659547369457</v>
      </c>
      <c r="F47" s="41">
        <f t="shared" si="1"/>
        <v>0.25584395062096021</v>
      </c>
      <c r="G47" s="41">
        <f t="shared" si="1"/>
        <v>0.13143386805301294</v>
      </c>
      <c r="H47" s="41">
        <f t="shared" si="1"/>
        <v>0.3006307099585861</v>
      </c>
      <c r="I47" s="41">
        <f t="shared" si="1"/>
        <v>7.3048075230594645E-2</v>
      </c>
      <c r="J47" s="41">
        <f t="shared" si="1"/>
        <v>5.6299095018601752E-2</v>
      </c>
      <c r="K47" s="41">
        <f t="shared" si="1"/>
        <v>0.11674582770832154</v>
      </c>
      <c r="L47" s="41">
        <f t="shared" si="1"/>
        <v>3.188246360019531E-2</v>
      </c>
      <c r="M47" s="41">
        <f t="shared" si="1"/>
        <v>9.150113694207973E-2</v>
      </c>
      <c r="N47" s="41">
        <f t="shared" si="1"/>
        <v>8.1699078023520721E-2</v>
      </c>
      <c r="O47" s="41">
        <f t="shared" si="1"/>
        <v>0.16870170746240198</v>
      </c>
    </row>
    <row r="48" spans="1:15"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</row>
    <row r="50" spans="5:8">
      <c r="E50" s="44"/>
      <c r="H50" s="45"/>
    </row>
  </sheetData>
  <sheetProtection sheet="1" objects="1" scenarios="1"/>
  <pageMargins left="0.19685039370078741" right="0.23622047244094491" top="0.39370078740157483" bottom="0.45" header="0.19685039370078741" footer="0.31496062992125984"/>
  <pageSetup paperSize="9" scale="75" orientation="landscape" r:id="rId1"/>
  <headerFooter>
    <oddHeader>&amp;L&amp;"Calibri,Normal"&amp;G&amp;C&amp;"Calibri,Normal"&amp;F&amp;R&amp;"Calibri,Normal"&amp;G</oddHeader>
    <oddFooter>&amp;L&amp;"Calibri,Normal"&amp;D&amp;C&amp;"Calibri,Normal"&amp;A&amp;R&amp;"Calibri,Normal"&amp;P de &amp;N</oddFooter>
  </headerFooter>
  <drawing r:id="rId2"/>
  <legacyDrawingHF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2:S50"/>
  <sheetViews>
    <sheetView showZeros="0" zoomScale="90" zoomScaleNormal="90" workbookViewId="0">
      <pane xSplit="2" topLeftCell="C1" activePane="topRight" state="frozen"/>
      <selection activeCell="H12" sqref="H12"/>
      <selection pane="topRight" activeCell="H12" sqref="H12"/>
    </sheetView>
  </sheetViews>
  <sheetFormatPr baseColWidth="10" defaultColWidth="11.453125" defaultRowHeight="14.5"/>
  <cols>
    <col min="1" max="1" width="5.6328125" style="1" customWidth="1"/>
    <col min="2" max="2" width="26.08984375" style="46" bestFit="1" customWidth="1"/>
    <col min="3" max="6" width="11.453125" style="3"/>
    <col min="7" max="10" width="11.453125" style="3" customWidth="1"/>
    <col min="11" max="11" width="11.90625" style="3" customWidth="1"/>
    <col min="12" max="12" width="11.453125" style="3" customWidth="1"/>
    <col min="13" max="13" width="12.54296875" style="3" customWidth="1"/>
    <col min="14" max="14" width="12.36328125" style="3" customWidth="1"/>
    <col min="15" max="15" width="11.453125" style="3"/>
    <col min="16" max="16384" width="11.453125" style="1"/>
  </cols>
  <sheetData>
    <row r="2" spans="1:19" ht="15.5">
      <c r="B2" s="2" t="s">
        <v>0</v>
      </c>
    </row>
    <row r="3" spans="1:19" ht="15" thickBot="1">
      <c r="B3" s="1"/>
      <c r="C3" s="4" t="s">
        <v>60</v>
      </c>
    </row>
    <row r="4" spans="1:19" ht="15" thickBot="1">
      <c r="A4" s="5" t="s">
        <v>2</v>
      </c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9" t="s">
        <v>15</v>
      </c>
      <c r="O4" s="5" t="s">
        <v>16</v>
      </c>
    </row>
    <row r="5" spans="1:19">
      <c r="A5" s="10">
        <v>1</v>
      </c>
      <c r="B5" s="11" t="s">
        <v>17</v>
      </c>
      <c r="C5" s="12"/>
      <c r="D5" s="13">
        <v>0</v>
      </c>
      <c r="E5" s="13"/>
      <c r="F5" s="13"/>
      <c r="G5" s="13"/>
      <c r="H5" s="13">
        <v>0</v>
      </c>
      <c r="I5" s="13"/>
      <c r="J5" s="13"/>
      <c r="K5" s="13">
        <v>0</v>
      </c>
      <c r="L5" s="13"/>
      <c r="M5" s="13"/>
      <c r="N5" s="14"/>
      <c r="O5" s="47">
        <f>SUM(Tabla25[[#This Row],[Gener]:[Desembre]])</f>
        <v>0</v>
      </c>
    </row>
    <row r="6" spans="1:19">
      <c r="A6" s="16">
        <v>2</v>
      </c>
      <c r="B6" s="17" t="s">
        <v>18</v>
      </c>
      <c r="C6" s="18">
        <v>1920</v>
      </c>
      <c r="D6" s="19">
        <v>2640</v>
      </c>
      <c r="E6" s="19">
        <v>2400</v>
      </c>
      <c r="F6" s="19">
        <v>1520</v>
      </c>
      <c r="G6" s="19">
        <v>2240</v>
      </c>
      <c r="H6" s="19">
        <v>2280</v>
      </c>
      <c r="I6" s="19">
        <v>1860</v>
      </c>
      <c r="J6" s="19">
        <v>1480</v>
      </c>
      <c r="K6" s="19">
        <v>3100</v>
      </c>
      <c r="L6" s="19">
        <v>1840</v>
      </c>
      <c r="M6" s="19">
        <v>1780</v>
      </c>
      <c r="N6" s="48">
        <v>1920</v>
      </c>
      <c r="O6" s="49">
        <f>SUM(Tabla25[[#This Row],[Gener]:[Desembre]])</f>
        <v>24980</v>
      </c>
    </row>
    <row r="7" spans="1:19">
      <c r="A7" s="16">
        <v>3</v>
      </c>
      <c r="B7" s="17" t="s">
        <v>19</v>
      </c>
      <c r="C7" s="18"/>
      <c r="D7" s="19">
        <v>0</v>
      </c>
      <c r="E7" s="19"/>
      <c r="F7" s="19"/>
      <c r="G7" s="19"/>
      <c r="H7" s="19">
        <v>0</v>
      </c>
      <c r="I7" s="19"/>
      <c r="J7" s="19"/>
      <c r="K7" s="19">
        <v>0</v>
      </c>
      <c r="L7" s="19"/>
      <c r="M7" s="19"/>
      <c r="N7" s="48"/>
      <c r="O7" s="49">
        <f>SUM(Tabla25[[#This Row],[Gener]:[Desembre]])</f>
        <v>0</v>
      </c>
    </row>
    <row r="8" spans="1:19">
      <c r="A8" s="16">
        <v>4</v>
      </c>
      <c r="B8" s="17" t="s">
        <v>20</v>
      </c>
      <c r="C8" s="18"/>
      <c r="D8" s="19">
        <v>0</v>
      </c>
      <c r="E8" s="19"/>
      <c r="F8" s="19"/>
      <c r="G8" s="19"/>
      <c r="H8" s="19">
        <v>0</v>
      </c>
      <c r="I8" s="19"/>
      <c r="J8" s="19"/>
      <c r="K8" s="19">
        <v>0</v>
      </c>
      <c r="L8" s="19"/>
      <c r="M8" s="19"/>
      <c r="N8" s="48"/>
      <c r="O8" s="49">
        <f>SUM(Tabla25[[#This Row],[Gener]:[Desembre]])</f>
        <v>0</v>
      </c>
      <c r="Q8"/>
      <c r="R8" s="50"/>
      <c r="S8" s="51"/>
    </row>
    <row r="9" spans="1:19">
      <c r="A9" s="16">
        <v>5</v>
      </c>
      <c r="B9" s="17" t="s">
        <v>21</v>
      </c>
      <c r="C9" s="18"/>
      <c r="D9" s="19">
        <v>0</v>
      </c>
      <c r="E9" s="19"/>
      <c r="F9" s="19"/>
      <c r="G9" s="19"/>
      <c r="H9" s="19">
        <v>0</v>
      </c>
      <c r="I9" s="19"/>
      <c r="J9" s="19"/>
      <c r="K9" s="19">
        <v>0</v>
      </c>
      <c r="L9" s="19"/>
      <c r="M9" s="19"/>
      <c r="N9" s="48"/>
      <c r="O9" s="49">
        <f>SUM(Tabla25[[#This Row],[Gener]:[Desembre]])</f>
        <v>0</v>
      </c>
      <c r="Q9"/>
      <c r="R9" s="50"/>
      <c r="S9" s="51"/>
    </row>
    <row r="10" spans="1:19">
      <c r="A10" s="16">
        <v>6</v>
      </c>
      <c r="B10" s="17" t="s">
        <v>22</v>
      </c>
      <c r="C10" s="18">
        <v>6380</v>
      </c>
      <c r="D10" s="19">
        <v>5500</v>
      </c>
      <c r="E10" s="19">
        <v>3740</v>
      </c>
      <c r="F10" s="19">
        <v>3320</v>
      </c>
      <c r="G10" s="19">
        <v>4700</v>
      </c>
      <c r="H10" s="19">
        <v>5900</v>
      </c>
      <c r="I10" s="19">
        <v>6520</v>
      </c>
      <c r="J10" s="19">
        <v>4320</v>
      </c>
      <c r="K10" s="19">
        <v>5340</v>
      </c>
      <c r="L10" s="19">
        <v>7580</v>
      </c>
      <c r="M10" s="19">
        <v>5860</v>
      </c>
      <c r="N10" s="48">
        <v>6080</v>
      </c>
      <c r="O10" s="49">
        <f>SUM(Tabla25[[#This Row],[Gener]:[Desembre]])</f>
        <v>65240</v>
      </c>
      <c r="Q10"/>
      <c r="R10" s="50"/>
      <c r="S10" s="51"/>
    </row>
    <row r="11" spans="1:19">
      <c r="A11" s="16">
        <v>8</v>
      </c>
      <c r="B11" s="22" t="s">
        <v>23</v>
      </c>
      <c r="C11" s="18"/>
      <c r="D11" s="19">
        <v>0</v>
      </c>
      <c r="E11" s="19"/>
      <c r="F11" s="19"/>
      <c r="G11" s="19"/>
      <c r="H11" s="19">
        <v>0</v>
      </c>
      <c r="I11" s="19"/>
      <c r="J11" s="19"/>
      <c r="K11" s="19">
        <v>0</v>
      </c>
      <c r="L11" s="19"/>
      <c r="M11" s="19"/>
      <c r="N11" s="48"/>
      <c r="O11" s="52">
        <f>SUM(Tabla25[[#This Row],[Gener]:[Desembre]])</f>
        <v>0</v>
      </c>
      <c r="Q11"/>
      <c r="R11" s="50"/>
      <c r="S11" s="51"/>
    </row>
    <row r="12" spans="1:19">
      <c r="A12" s="16">
        <v>9</v>
      </c>
      <c r="B12" s="24" t="s">
        <v>24</v>
      </c>
      <c r="C12" s="18"/>
      <c r="D12" s="19">
        <v>0</v>
      </c>
      <c r="E12" s="19"/>
      <c r="F12" s="19"/>
      <c r="G12" s="19"/>
      <c r="H12" s="19">
        <v>0</v>
      </c>
      <c r="I12" s="19"/>
      <c r="J12" s="19"/>
      <c r="K12" s="19">
        <v>0</v>
      </c>
      <c r="L12" s="19"/>
      <c r="M12" s="19"/>
      <c r="N12" s="48"/>
      <c r="O12" s="49">
        <f>SUM(Tabla25[[#This Row],[Gener]:[Desembre]])</f>
        <v>0</v>
      </c>
      <c r="Q12"/>
      <c r="R12" s="50"/>
      <c r="S12" s="51"/>
    </row>
    <row r="13" spans="1:19">
      <c r="A13" s="16">
        <v>10</v>
      </c>
      <c r="B13" s="11" t="s">
        <v>25</v>
      </c>
      <c r="C13" s="18">
        <v>7840</v>
      </c>
      <c r="D13" s="19">
        <v>9540</v>
      </c>
      <c r="E13" s="19">
        <v>6120</v>
      </c>
      <c r="F13" s="19">
        <v>5300</v>
      </c>
      <c r="G13" s="19">
        <v>7880</v>
      </c>
      <c r="H13" s="19">
        <v>6920</v>
      </c>
      <c r="I13" s="19">
        <v>8080</v>
      </c>
      <c r="J13" s="19">
        <v>6420</v>
      </c>
      <c r="K13" s="19">
        <v>9240</v>
      </c>
      <c r="L13" s="19">
        <v>9240</v>
      </c>
      <c r="M13" s="19">
        <v>9220</v>
      </c>
      <c r="N13" s="48">
        <v>7780</v>
      </c>
      <c r="O13" s="47">
        <f>SUM(Tabla25[[#This Row],[Gener]:[Desembre]])</f>
        <v>93580</v>
      </c>
      <c r="Q13"/>
      <c r="R13" s="50"/>
      <c r="S13" s="51"/>
    </row>
    <row r="14" spans="1:19">
      <c r="A14" s="16">
        <v>11</v>
      </c>
      <c r="B14" s="17" t="s">
        <v>26</v>
      </c>
      <c r="C14" s="18">
        <f>7980+6360+1876+33580</f>
        <v>49796</v>
      </c>
      <c r="D14" s="19">
        <v>45800</v>
      </c>
      <c r="E14" s="19">
        <f>25140+640+520</f>
        <v>26300</v>
      </c>
      <c r="F14" s="19">
        <f>260+140+9780</f>
        <v>10180</v>
      </c>
      <c r="G14" s="19">
        <v>21820</v>
      </c>
      <c r="H14" s="19">
        <v>38611.43</v>
      </c>
      <c r="I14" s="19">
        <v>45140</v>
      </c>
      <c r="J14" s="19">
        <v>26960</v>
      </c>
      <c r="K14" s="19">
        <v>42400</v>
      </c>
      <c r="L14" s="19">
        <f>820+4680+720+37360</f>
        <v>43580</v>
      </c>
      <c r="M14" s="19">
        <f>1860+33960</f>
        <v>35820</v>
      </c>
      <c r="N14" s="48">
        <v>53660</v>
      </c>
      <c r="O14" s="49">
        <f>SUM(Tabla25[[#This Row],[Gener]:[Desembre]])</f>
        <v>440067.43</v>
      </c>
      <c r="Q14"/>
      <c r="R14" s="50"/>
      <c r="S14" s="51"/>
    </row>
    <row r="15" spans="1:19">
      <c r="A15" s="16">
        <v>12</v>
      </c>
      <c r="B15" s="17" t="s">
        <v>27</v>
      </c>
      <c r="C15" s="18"/>
      <c r="D15" s="19">
        <v>0</v>
      </c>
      <c r="E15" s="19"/>
      <c r="F15" s="19"/>
      <c r="G15" s="19"/>
      <c r="H15" s="19">
        <v>0</v>
      </c>
      <c r="I15" s="19"/>
      <c r="J15" s="19"/>
      <c r="K15" s="19">
        <v>0</v>
      </c>
      <c r="L15" s="19"/>
      <c r="M15" s="19"/>
      <c r="N15" s="48"/>
      <c r="O15" s="49">
        <f>SUM(Tabla25[[#This Row],[Gener]:[Desembre]])</f>
        <v>0</v>
      </c>
      <c r="Q15"/>
      <c r="R15" s="50"/>
      <c r="S15" s="51"/>
    </row>
    <row r="16" spans="1:19">
      <c r="A16" s="16">
        <v>13</v>
      </c>
      <c r="B16" s="24" t="s">
        <v>28</v>
      </c>
      <c r="C16" s="18"/>
      <c r="D16" s="19">
        <v>0</v>
      </c>
      <c r="E16" s="19"/>
      <c r="F16" s="19"/>
      <c r="G16" s="19"/>
      <c r="H16" s="19">
        <v>0</v>
      </c>
      <c r="I16" s="19"/>
      <c r="J16" s="19"/>
      <c r="K16" s="19">
        <v>0</v>
      </c>
      <c r="L16" s="19"/>
      <c r="M16" s="19"/>
      <c r="N16" s="48"/>
      <c r="O16" s="49">
        <f>SUM(Tabla25[[#This Row],[Gener]:[Desembre]])</f>
        <v>0</v>
      </c>
      <c r="Q16"/>
      <c r="R16" s="50"/>
      <c r="S16" s="51"/>
    </row>
    <row r="17" spans="1:19">
      <c r="A17" s="16">
        <v>14</v>
      </c>
      <c r="B17" s="17" t="s">
        <v>29</v>
      </c>
      <c r="C17" s="18"/>
      <c r="D17" s="19">
        <v>0</v>
      </c>
      <c r="E17" s="19"/>
      <c r="F17" s="19"/>
      <c r="G17" s="19"/>
      <c r="H17" s="19">
        <v>0</v>
      </c>
      <c r="I17" s="19"/>
      <c r="J17" s="19"/>
      <c r="K17" s="19">
        <v>0</v>
      </c>
      <c r="L17" s="19"/>
      <c r="M17" s="19"/>
      <c r="N17" s="48"/>
      <c r="O17" s="49">
        <f>SUM(Tabla25[[#This Row],[Gener]:[Desembre]])</f>
        <v>0</v>
      </c>
      <c r="Q17"/>
      <c r="R17" s="50"/>
      <c r="S17" s="51"/>
    </row>
    <row r="18" spans="1:19">
      <c r="A18" s="16">
        <v>15</v>
      </c>
      <c r="B18" s="17" t="s">
        <v>30</v>
      </c>
      <c r="C18" s="18"/>
      <c r="D18" s="19">
        <v>0</v>
      </c>
      <c r="E18" s="19"/>
      <c r="F18" s="19"/>
      <c r="G18" s="19"/>
      <c r="H18" s="19">
        <v>0</v>
      </c>
      <c r="I18" s="19"/>
      <c r="J18" s="19"/>
      <c r="K18" s="19">
        <v>0</v>
      </c>
      <c r="L18" s="19"/>
      <c r="M18" s="19"/>
      <c r="N18" s="48"/>
      <c r="O18" s="49">
        <f>SUM(Tabla25[[#This Row],[Gener]:[Desembre]])</f>
        <v>0</v>
      </c>
    </row>
    <row r="19" spans="1:19">
      <c r="A19" s="16">
        <v>16</v>
      </c>
      <c r="B19" s="17" t="s">
        <v>31</v>
      </c>
      <c r="C19" s="18"/>
      <c r="D19" s="19">
        <v>0</v>
      </c>
      <c r="E19" s="19"/>
      <c r="F19" s="19"/>
      <c r="G19" s="19"/>
      <c r="H19" s="19">
        <v>0</v>
      </c>
      <c r="I19" s="19"/>
      <c r="J19" s="19"/>
      <c r="K19" s="19">
        <v>0</v>
      </c>
      <c r="L19" s="19"/>
      <c r="M19" s="19"/>
      <c r="N19" s="48"/>
      <c r="O19" s="49">
        <f>SUM(Tabla25[[#This Row],[Gener]:[Desembre]])</f>
        <v>0</v>
      </c>
    </row>
    <row r="20" spans="1:19">
      <c r="A20" s="16">
        <v>17</v>
      </c>
      <c r="B20" s="17" t="s">
        <v>32</v>
      </c>
      <c r="C20" s="18"/>
      <c r="D20" s="19">
        <v>0</v>
      </c>
      <c r="E20" s="19"/>
      <c r="F20" s="19"/>
      <c r="G20" s="19"/>
      <c r="H20" s="19">
        <v>0</v>
      </c>
      <c r="I20" s="19"/>
      <c r="J20" s="19"/>
      <c r="K20" s="19">
        <v>0</v>
      </c>
      <c r="L20" s="19"/>
      <c r="M20" s="19"/>
      <c r="N20" s="48"/>
      <c r="O20" s="49">
        <f>SUM(Tabla25[[#This Row],[Gener]:[Desembre]])</f>
        <v>0</v>
      </c>
    </row>
    <row r="21" spans="1:19">
      <c r="A21" s="16">
        <v>18</v>
      </c>
      <c r="B21" s="17" t="s">
        <v>33</v>
      </c>
      <c r="C21" s="18">
        <f>3300+24680</f>
        <v>27980</v>
      </c>
      <c r="D21" s="19">
        <v>28760</v>
      </c>
      <c r="E21" s="19">
        <f>20620+2300</f>
        <v>22920</v>
      </c>
      <c r="F21" s="19">
        <v>12040</v>
      </c>
      <c r="G21" s="19">
        <v>17280</v>
      </c>
      <c r="H21" s="19">
        <v>27440</v>
      </c>
      <c r="I21" s="19">
        <v>31400</v>
      </c>
      <c r="J21" s="19">
        <v>17980</v>
      </c>
      <c r="K21" s="19">
        <v>31520</v>
      </c>
      <c r="L21" s="19">
        <f>2180+25200</f>
        <v>27380</v>
      </c>
      <c r="M21" s="19">
        <v>23600</v>
      </c>
      <c r="N21" s="48">
        <v>26300</v>
      </c>
      <c r="O21" s="49">
        <f>SUM(Tabla25[[#This Row],[Gener]:[Desembre]])</f>
        <v>294600</v>
      </c>
    </row>
    <row r="22" spans="1:19">
      <c r="A22" s="16">
        <v>19</v>
      </c>
      <c r="B22" s="17" t="s">
        <v>34</v>
      </c>
      <c r="C22" s="18">
        <v>8040</v>
      </c>
      <c r="D22" s="19">
        <v>7300</v>
      </c>
      <c r="E22" s="19">
        <v>4640</v>
      </c>
      <c r="F22" s="19">
        <v>3100</v>
      </c>
      <c r="G22" s="19">
        <v>4280</v>
      </c>
      <c r="H22" s="19">
        <v>5360</v>
      </c>
      <c r="I22" s="19">
        <v>5500</v>
      </c>
      <c r="J22" s="19">
        <v>1881</v>
      </c>
      <c r="K22" s="19">
        <v>6120</v>
      </c>
      <c r="L22" s="19">
        <v>7080</v>
      </c>
      <c r="M22" s="19">
        <v>5300</v>
      </c>
      <c r="N22" s="48">
        <v>6680</v>
      </c>
      <c r="O22" s="49">
        <f>SUM(Tabla25[[#This Row],[Gener]:[Desembre]])</f>
        <v>65281</v>
      </c>
    </row>
    <row r="23" spans="1:19">
      <c r="A23" s="16">
        <v>20</v>
      </c>
      <c r="B23" s="17" t="s">
        <v>35</v>
      </c>
      <c r="C23" s="18"/>
      <c r="D23" s="19">
        <v>0</v>
      </c>
      <c r="E23" s="19"/>
      <c r="F23" s="19"/>
      <c r="G23" s="19"/>
      <c r="H23" s="19">
        <v>0</v>
      </c>
      <c r="I23" s="19"/>
      <c r="J23" s="19"/>
      <c r="K23" s="19">
        <v>0</v>
      </c>
      <c r="L23" s="19"/>
      <c r="M23" s="19"/>
      <c r="N23" s="48"/>
      <c r="O23" s="49">
        <f>SUM(Tabla25[[#This Row],[Gener]:[Desembre]])</f>
        <v>0</v>
      </c>
    </row>
    <row r="24" spans="1:19">
      <c r="A24" s="16">
        <v>21</v>
      </c>
      <c r="B24" s="17" t="s">
        <v>36</v>
      </c>
      <c r="C24" s="18"/>
      <c r="D24" s="19">
        <v>0</v>
      </c>
      <c r="E24" s="19"/>
      <c r="F24" s="19"/>
      <c r="G24" s="19"/>
      <c r="H24" s="19">
        <v>0</v>
      </c>
      <c r="I24" s="19"/>
      <c r="J24" s="19"/>
      <c r="K24" s="19">
        <v>0</v>
      </c>
      <c r="L24" s="19"/>
      <c r="M24" s="19"/>
      <c r="N24" s="48"/>
      <c r="O24" s="49">
        <f>SUM(Tabla25[[#This Row],[Gener]:[Desembre]])</f>
        <v>0</v>
      </c>
    </row>
    <row r="25" spans="1:19">
      <c r="A25" s="16">
        <v>22</v>
      </c>
      <c r="B25" s="17" t="s">
        <v>37</v>
      </c>
      <c r="C25" s="18">
        <v>6640</v>
      </c>
      <c r="D25" s="19">
        <v>5460</v>
      </c>
      <c r="E25" s="19">
        <v>5940</v>
      </c>
      <c r="F25" s="19">
        <v>4160</v>
      </c>
      <c r="G25" s="19">
        <v>6310</v>
      </c>
      <c r="H25" s="19">
        <v>5860</v>
      </c>
      <c r="I25" s="19">
        <v>5480</v>
      </c>
      <c r="J25" s="19">
        <v>3100</v>
      </c>
      <c r="K25" s="19">
        <v>6060</v>
      </c>
      <c r="L25" s="19">
        <v>5600</v>
      </c>
      <c r="M25" s="19">
        <v>5360</v>
      </c>
      <c r="N25" s="48">
        <v>6140</v>
      </c>
      <c r="O25" s="49">
        <f>SUM(Tabla25[[#This Row],[Gener]:[Desembre]])</f>
        <v>66110</v>
      </c>
    </row>
    <row r="26" spans="1:19">
      <c r="A26" s="16">
        <v>23</v>
      </c>
      <c r="B26" s="24" t="s">
        <v>38</v>
      </c>
      <c r="C26" s="18"/>
      <c r="D26" s="19">
        <v>0</v>
      </c>
      <c r="E26" s="19"/>
      <c r="F26" s="19"/>
      <c r="G26" s="19"/>
      <c r="H26" s="19">
        <v>0</v>
      </c>
      <c r="I26" s="19"/>
      <c r="J26" s="19"/>
      <c r="K26" s="19">
        <v>0</v>
      </c>
      <c r="L26" s="19"/>
      <c r="M26" s="19"/>
      <c r="N26" s="48"/>
      <c r="O26" s="49">
        <f>SUM(Tabla25[[#This Row],[Gener]:[Desembre]])</f>
        <v>0</v>
      </c>
    </row>
    <row r="27" spans="1:19">
      <c r="A27" s="16">
        <v>24</v>
      </c>
      <c r="B27" s="24" t="s">
        <v>39</v>
      </c>
      <c r="C27" s="53">
        <v>16980</v>
      </c>
      <c r="D27" s="54">
        <v>13820</v>
      </c>
      <c r="E27" s="54">
        <v>10920</v>
      </c>
      <c r="F27" s="54">
        <v>13480</v>
      </c>
      <c r="G27" s="54">
        <v>13600</v>
      </c>
      <c r="H27" s="54">
        <v>13160</v>
      </c>
      <c r="I27" s="55">
        <v>19180</v>
      </c>
      <c r="J27" s="56">
        <v>14360</v>
      </c>
      <c r="K27" s="19">
        <v>11760</v>
      </c>
      <c r="L27" s="19">
        <v>15820</v>
      </c>
      <c r="M27" s="19">
        <v>13180</v>
      </c>
      <c r="N27" s="48">
        <v>14900</v>
      </c>
      <c r="O27" s="49">
        <f>SUM(Tabla25[[#This Row],[Gener]:[Desembre]])</f>
        <v>171160</v>
      </c>
    </row>
    <row r="28" spans="1:19">
      <c r="A28" s="16">
        <v>25</v>
      </c>
      <c r="B28" s="17" t="s">
        <v>40</v>
      </c>
      <c r="C28" s="18"/>
      <c r="D28" s="19">
        <v>0</v>
      </c>
      <c r="E28" s="19"/>
      <c r="F28" s="19"/>
      <c r="G28" s="19"/>
      <c r="H28" s="19">
        <v>0</v>
      </c>
      <c r="I28" s="19"/>
      <c r="J28" s="19"/>
      <c r="K28" s="19">
        <v>0</v>
      </c>
      <c r="L28" s="19"/>
      <c r="M28" s="19"/>
      <c r="N28" s="48"/>
      <c r="O28" s="49">
        <f>SUM(Tabla25[[#This Row],[Gener]:[Desembre]])</f>
        <v>0</v>
      </c>
    </row>
    <row r="29" spans="1:19">
      <c r="A29" s="16">
        <v>26</v>
      </c>
      <c r="B29" s="24" t="s">
        <v>41</v>
      </c>
      <c r="C29" s="18">
        <v>6560</v>
      </c>
      <c r="D29" s="19">
        <v>5180</v>
      </c>
      <c r="E29" s="19">
        <v>5720</v>
      </c>
      <c r="F29" s="19">
        <v>7900</v>
      </c>
      <c r="G29" s="19">
        <v>5700</v>
      </c>
      <c r="H29" s="19">
        <v>6020</v>
      </c>
      <c r="I29" s="19">
        <v>7540</v>
      </c>
      <c r="J29" s="19">
        <v>5640</v>
      </c>
      <c r="K29" s="19">
        <v>7260</v>
      </c>
      <c r="L29" s="19">
        <v>5400</v>
      </c>
      <c r="M29" s="19">
        <v>5220</v>
      </c>
      <c r="N29" s="48">
        <v>7020</v>
      </c>
      <c r="O29" s="49">
        <f>SUM(Tabla25[[#This Row],[Gener]:[Desembre]])</f>
        <v>75160</v>
      </c>
    </row>
    <row r="30" spans="1:19">
      <c r="A30" s="16">
        <v>27</v>
      </c>
      <c r="B30" s="24" t="s">
        <v>42</v>
      </c>
      <c r="C30" s="53"/>
      <c r="D30" s="54">
        <v>0</v>
      </c>
      <c r="E30" s="54"/>
      <c r="F30" s="54"/>
      <c r="G30" s="19"/>
      <c r="H30" s="19">
        <v>0</v>
      </c>
      <c r="I30" s="19"/>
      <c r="J30" s="19"/>
      <c r="K30" s="19">
        <v>0</v>
      </c>
      <c r="L30" s="19"/>
      <c r="M30" s="19"/>
      <c r="N30" s="48"/>
      <c r="O30" s="49">
        <f>SUM(Tabla25[[#This Row],[Gener]:[Desembre]])</f>
        <v>0</v>
      </c>
    </row>
    <row r="31" spans="1:19">
      <c r="A31" s="16">
        <v>28</v>
      </c>
      <c r="B31" s="24" t="s">
        <v>43</v>
      </c>
      <c r="C31" s="18"/>
      <c r="D31" s="19">
        <v>0</v>
      </c>
      <c r="E31" s="19"/>
      <c r="F31" s="19"/>
      <c r="G31" s="19"/>
      <c r="H31" s="19">
        <v>0</v>
      </c>
      <c r="I31" s="19"/>
      <c r="J31" s="19"/>
      <c r="K31" s="19">
        <v>0</v>
      </c>
      <c r="L31" s="19"/>
      <c r="M31" s="19"/>
      <c r="N31" s="48"/>
      <c r="O31" s="49">
        <f>SUM(Tabla25[[#This Row],[Gener]:[Desembre]])</f>
        <v>0</v>
      </c>
    </row>
    <row r="32" spans="1:19">
      <c r="A32" s="16">
        <v>29</v>
      </c>
      <c r="B32" s="24" t="s">
        <v>44</v>
      </c>
      <c r="C32" s="18"/>
      <c r="D32" s="19">
        <v>0</v>
      </c>
      <c r="E32" s="19"/>
      <c r="F32" s="19"/>
      <c r="G32" s="19"/>
      <c r="H32" s="19">
        <v>0</v>
      </c>
      <c r="I32" s="19"/>
      <c r="J32" s="19"/>
      <c r="K32" s="19">
        <v>0</v>
      </c>
      <c r="L32" s="19"/>
      <c r="M32" s="19"/>
      <c r="N32" s="48"/>
      <c r="O32" s="49">
        <f>SUM(Tabla25[[#This Row],[Gener]:[Desembre]])</f>
        <v>0</v>
      </c>
    </row>
    <row r="33" spans="1:15">
      <c r="A33" s="16">
        <v>30</v>
      </c>
      <c r="B33" s="24" t="s">
        <v>45</v>
      </c>
      <c r="C33" s="18">
        <v>15280</v>
      </c>
      <c r="D33" s="19">
        <v>10820</v>
      </c>
      <c r="E33" s="19">
        <v>12620</v>
      </c>
      <c r="F33" s="19">
        <v>19500</v>
      </c>
      <c r="G33" s="19">
        <v>17440</v>
      </c>
      <c r="H33" s="19">
        <v>14020</v>
      </c>
      <c r="I33" s="19">
        <v>19340</v>
      </c>
      <c r="J33" s="19">
        <v>12340</v>
      </c>
      <c r="K33" s="19">
        <v>18860</v>
      </c>
      <c r="L33" s="19">
        <v>13340</v>
      </c>
      <c r="M33" s="19">
        <v>14040</v>
      </c>
      <c r="N33" s="48">
        <v>17480</v>
      </c>
      <c r="O33" s="49">
        <f>SUM(Tabla25[[#This Row],[Gener]:[Desembre]])</f>
        <v>185080</v>
      </c>
    </row>
    <row r="34" spans="1:15">
      <c r="A34" s="16">
        <v>31</v>
      </c>
      <c r="B34" s="24" t="s">
        <v>46</v>
      </c>
      <c r="C34" s="18"/>
      <c r="D34" s="19">
        <v>0</v>
      </c>
      <c r="E34" s="19"/>
      <c r="F34" s="19"/>
      <c r="G34" s="19"/>
      <c r="H34" s="19">
        <v>0</v>
      </c>
      <c r="I34" s="19"/>
      <c r="J34" s="19"/>
      <c r="K34" s="19">
        <v>0</v>
      </c>
      <c r="L34" s="19"/>
      <c r="M34" s="19"/>
      <c r="N34" s="48"/>
      <c r="O34" s="49">
        <f>SUM(Tabla25[[#This Row],[Gener]:[Desembre]])</f>
        <v>0</v>
      </c>
    </row>
    <row r="35" spans="1:15">
      <c r="A35" s="16">
        <v>32</v>
      </c>
      <c r="B35" s="24" t="s">
        <v>47</v>
      </c>
      <c r="C35" s="18"/>
      <c r="D35" s="19">
        <v>0</v>
      </c>
      <c r="E35" s="19"/>
      <c r="F35" s="19"/>
      <c r="G35" s="19"/>
      <c r="H35" s="19">
        <v>0</v>
      </c>
      <c r="I35" s="19"/>
      <c r="J35" s="19"/>
      <c r="K35" s="19">
        <v>0</v>
      </c>
      <c r="L35" s="19"/>
      <c r="M35" s="19"/>
      <c r="N35" s="48"/>
      <c r="O35" s="49">
        <f>SUM(Tabla25[[#This Row],[Gener]:[Desembre]])</f>
        <v>0</v>
      </c>
    </row>
    <row r="36" spans="1:15">
      <c r="A36" s="16">
        <v>33</v>
      </c>
      <c r="B36" s="17" t="s">
        <v>48</v>
      </c>
      <c r="C36" s="18"/>
      <c r="D36" s="19">
        <v>0</v>
      </c>
      <c r="E36" s="19"/>
      <c r="F36" s="19"/>
      <c r="G36" s="19"/>
      <c r="H36" s="19">
        <v>0</v>
      </c>
      <c r="I36" s="19"/>
      <c r="J36" s="19"/>
      <c r="K36" s="19">
        <v>0</v>
      </c>
      <c r="L36" s="19"/>
      <c r="M36" s="19"/>
      <c r="N36" s="48"/>
      <c r="O36" s="49">
        <f>SUM(Tabla25[[#This Row],[Gener]:[Desembre]])</f>
        <v>0</v>
      </c>
    </row>
    <row r="37" spans="1:15">
      <c r="A37" s="16">
        <v>34</v>
      </c>
      <c r="B37" s="17" t="s">
        <v>49</v>
      </c>
      <c r="C37" s="18"/>
      <c r="D37" s="19">
        <v>0</v>
      </c>
      <c r="E37" s="19"/>
      <c r="F37" s="19"/>
      <c r="G37" s="19"/>
      <c r="H37" s="19">
        <v>0</v>
      </c>
      <c r="I37" s="19"/>
      <c r="J37" s="19"/>
      <c r="K37" s="19">
        <v>0</v>
      </c>
      <c r="L37" s="19"/>
      <c r="M37" s="19"/>
      <c r="N37" s="48"/>
      <c r="O37" s="49">
        <f>SUM(Tabla25[[#This Row],[Gener]:[Desembre]])</f>
        <v>0</v>
      </c>
    </row>
    <row r="38" spans="1:15">
      <c r="A38" s="16">
        <v>35</v>
      </c>
      <c r="B38" s="17" t="s">
        <v>50</v>
      </c>
      <c r="C38" s="18"/>
      <c r="D38" s="19">
        <v>0</v>
      </c>
      <c r="E38" s="19"/>
      <c r="F38" s="19"/>
      <c r="G38" s="19"/>
      <c r="H38" s="19">
        <v>0</v>
      </c>
      <c r="I38" s="19"/>
      <c r="J38" s="19"/>
      <c r="K38" s="19">
        <v>0</v>
      </c>
      <c r="L38" s="19"/>
      <c r="M38" s="19"/>
      <c r="N38" s="48"/>
      <c r="O38" s="49">
        <f>SUM(Tabla25[[#This Row],[Gener]:[Desembre]])</f>
        <v>0</v>
      </c>
    </row>
    <row r="39" spans="1:15">
      <c r="A39" s="16">
        <v>36</v>
      </c>
      <c r="B39" s="17" t="s">
        <v>51</v>
      </c>
      <c r="C39" s="18"/>
      <c r="D39" s="19">
        <v>0</v>
      </c>
      <c r="E39" s="19"/>
      <c r="F39" s="19"/>
      <c r="G39" s="19"/>
      <c r="H39" s="19">
        <v>0</v>
      </c>
      <c r="I39" s="19"/>
      <c r="J39" s="19"/>
      <c r="K39" s="19">
        <v>0</v>
      </c>
      <c r="L39" s="19"/>
      <c r="M39" s="19"/>
      <c r="N39" s="48"/>
      <c r="O39" s="49">
        <f>SUM(Tabla25[[#This Row],[Gener]:[Desembre]])</f>
        <v>0</v>
      </c>
    </row>
    <row r="40" spans="1:15">
      <c r="A40" s="16">
        <v>37</v>
      </c>
      <c r="B40" s="17" t="s">
        <v>52</v>
      </c>
      <c r="C40" s="18"/>
      <c r="D40" s="19">
        <v>0</v>
      </c>
      <c r="E40" s="19"/>
      <c r="F40" s="19"/>
      <c r="G40" s="19"/>
      <c r="H40" s="19">
        <v>0</v>
      </c>
      <c r="I40" s="19"/>
      <c r="J40" s="19"/>
      <c r="K40" s="19">
        <v>0</v>
      </c>
      <c r="L40" s="19"/>
      <c r="M40" s="19"/>
      <c r="N40" s="48"/>
      <c r="O40" s="49">
        <f>SUM(Tabla25[[#This Row],[Gener]:[Desembre]])</f>
        <v>0</v>
      </c>
    </row>
    <row r="41" spans="1:15">
      <c r="A41" s="16">
        <v>38</v>
      </c>
      <c r="B41" s="17" t="s">
        <v>53</v>
      </c>
      <c r="C41" s="18"/>
      <c r="D41" s="19">
        <v>0</v>
      </c>
      <c r="E41" s="19"/>
      <c r="F41" s="19"/>
      <c r="G41" s="19"/>
      <c r="H41" s="19">
        <v>0</v>
      </c>
      <c r="I41" s="19"/>
      <c r="J41" s="19"/>
      <c r="K41" s="19">
        <v>0</v>
      </c>
      <c r="L41" s="19"/>
      <c r="M41" s="19"/>
      <c r="N41" s="48"/>
      <c r="O41" s="49">
        <f>SUM(Tabla25[[#This Row],[Gener]:[Desembre]])</f>
        <v>0</v>
      </c>
    </row>
    <row r="42" spans="1:15">
      <c r="A42" s="16">
        <v>39</v>
      </c>
      <c r="B42" s="17" t="s">
        <v>54</v>
      </c>
      <c r="C42" s="53">
        <v>7560</v>
      </c>
      <c r="D42" s="54">
        <v>4980</v>
      </c>
      <c r="E42" s="54">
        <v>5020</v>
      </c>
      <c r="F42" s="54">
        <v>7340</v>
      </c>
      <c r="G42" s="54">
        <v>6360</v>
      </c>
      <c r="H42" s="54">
        <v>5780</v>
      </c>
      <c r="I42" s="55">
        <v>8240</v>
      </c>
      <c r="J42" s="56">
        <v>6360</v>
      </c>
      <c r="K42" s="19">
        <v>7860</v>
      </c>
      <c r="L42" s="19">
        <v>5620</v>
      </c>
      <c r="M42" s="19">
        <v>6040</v>
      </c>
      <c r="N42" s="48">
        <v>7320</v>
      </c>
      <c r="O42" s="49">
        <f>SUM(Tabla25[[#This Row],[Gener]:[Desembre]])</f>
        <v>78480</v>
      </c>
    </row>
    <row r="43" spans="1:15">
      <c r="A43" s="16">
        <v>40</v>
      </c>
      <c r="B43" s="17" t="s">
        <v>55</v>
      </c>
      <c r="C43" s="12"/>
      <c r="D43" s="13">
        <v>0</v>
      </c>
      <c r="E43" s="13"/>
      <c r="F43" s="13"/>
      <c r="G43" s="13"/>
      <c r="H43" s="13">
        <v>0</v>
      </c>
      <c r="I43" s="13"/>
      <c r="J43" s="13"/>
      <c r="K43" s="13">
        <v>0</v>
      </c>
      <c r="L43" s="13"/>
      <c r="M43" s="13"/>
      <c r="N43" s="14"/>
      <c r="O43" s="49">
        <f>SUM(Tabla25[[#This Row],[Gener]:[Desembre]])</f>
        <v>0</v>
      </c>
    </row>
    <row r="44" spans="1:15" ht="15" thickBot="1">
      <c r="A44" s="28">
        <v>41</v>
      </c>
      <c r="B44" s="29" t="s">
        <v>56</v>
      </c>
      <c r="C44" s="12"/>
      <c r="D44" s="13">
        <v>0</v>
      </c>
      <c r="E44" s="13"/>
      <c r="F44" s="30"/>
      <c r="G44" s="30"/>
      <c r="H44" s="30">
        <v>0</v>
      </c>
      <c r="I44" s="30"/>
      <c r="J44" s="13"/>
      <c r="K44" s="13">
        <v>0</v>
      </c>
      <c r="L44" s="30"/>
      <c r="M44" s="30"/>
      <c r="N44" s="31"/>
      <c r="O44" s="52">
        <f>SUM(Tabla25[[#This Row],[Gener]:[Desembre]])</f>
        <v>0</v>
      </c>
    </row>
    <row r="45" spans="1:15" s="4" customFormat="1" ht="15" thickBot="1">
      <c r="A45" s="32"/>
      <c r="B45" s="6" t="s">
        <v>57</v>
      </c>
      <c r="C45" s="7">
        <f t="shared" ref="C45:L45" si="0">SUBTOTAL(109,C5:C44)</f>
        <v>154976</v>
      </c>
      <c r="D45" s="8">
        <f t="shared" si="0"/>
        <v>139800</v>
      </c>
      <c r="E45" s="8">
        <f t="shared" si="0"/>
        <v>106340</v>
      </c>
      <c r="F45" s="8">
        <f t="shared" si="0"/>
        <v>87840</v>
      </c>
      <c r="G45" s="8">
        <f t="shared" si="0"/>
        <v>107610</v>
      </c>
      <c r="H45" s="8">
        <f t="shared" si="0"/>
        <v>131351.43</v>
      </c>
      <c r="I45" s="8">
        <f t="shared" si="0"/>
        <v>158280</v>
      </c>
      <c r="J45" s="8">
        <f t="shared" si="0"/>
        <v>100841</v>
      </c>
      <c r="K45" s="8">
        <f t="shared" si="0"/>
        <v>149520</v>
      </c>
      <c r="L45" s="8">
        <f t="shared" si="0"/>
        <v>142480</v>
      </c>
      <c r="M45" s="8">
        <f>SUM(M5:M44)</f>
        <v>125420</v>
      </c>
      <c r="N45" s="8">
        <f>SUM(N5:N44)</f>
        <v>155280</v>
      </c>
      <c r="O45" s="5">
        <f>SUBTOTAL(109,O5:O44)</f>
        <v>1559738.43</v>
      </c>
    </row>
    <row r="46" spans="1:15" ht="15" thickBot="1">
      <c r="A46" s="33"/>
      <c r="B46" s="34" t="s">
        <v>58</v>
      </c>
      <c r="C46" s="35">
        <v>103820</v>
      </c>
      <c r="D46" s="36">
        <v>90610</v>
      </c>
      <c r="E46" s="36">
        <v>106300</v>
      </c>
      <c r="F46" s="36">
        <v>100890</v>
      </c>
      <c r="G46" s="36">
        <v>133260</v>
      </c>
      <c r="H46" s="36">
        <v>111540</v>
      </c>
      <c r="I46" s="36">
        <v>138406</v>
      </c>
      <c r="J46" s="36">
        <v>99960</v>
      </c>
      <c r="K46" s="36">
        <v>130040</v>
      </c>
      <c r="L46" s="36">
        <v>138815</v>
      </c>
      <c r="M46" s="36">
        <v>129980</v>
      </c>
      <c r="N46" s="37">
        <v>138300</v>
      </c>
      <c r="O46" s="38">
        <f>SUM(Tabla25[[#This Row],[Gener]:[Desembre]])</f>
        <v>1421921</v>
      </c>
    </row>
    <row r="47" spans="1:15">
      <c r="A47" s="39"/>
      <c r="B47" s="40" t="s">
        <v>59</v>
      </c>
      <c r="C47" s="41">
        <f>(C45/C46)-1</f>
        <v>0.49273743016759775</v>
      </c>
      <c r="D47" s="41">
        <f>(D45/D46)-1</f>
        <v>0.54287606224478524</v>
      </c>
      <c r="E47" s="41">
        <f t="shared" ref="E47:O47" si="1">(E45/E46)-1</f>
        <v>3.7629350893686464E-4</v>
      </c>
      <c r="F47" s="41">
        <f t="shared" si="1"/>
        <v>-0.12934879571810887</v>
      </c>
      <c r="G47" s="41">
        <f t="shared" si="1"/>
        <v>-0.19248086447546153</v>
      </c>
      <c r="H47" s="41">
        <f t="shared" si="1"/>
        <v>0.17761726734803651</v>
      </c>
      <c r="I47" s="41">
        <f t="shared" si="1"/>
        <v>0.14359204080747934</v>
      </c>
      <c r="J47" s="41">
        <f t="shared" si="1"/>
        <v>8.8135254101640026E-3</v>
      </c>
      <c r="K47" s="41">
        <f t="shared" si="1"/>
        <v>0.14980006151953251</v>
      </c>
      <c r="L47" s="41">
        <f t="shared" si="1"/>
        <v>2.6402045888412662E-2</v>
      </c>
      <c r="M47" s="41">
        <f t="shared" si="1"/>
        <v>-3.5082320356978003E-2</v>
      </c>
      <c r="N47" s="41">
        <f t="shared" si="1"/>
        <v>0.1227765726681127</v>
      </c>
      <c r="O47" s="41">
        <f t="shared" si="1"/>
        <v>9.6923408543793776E-2</v>
      </c>
    </row>
    <row r="48" spans="1:15"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</row>
    <row r="49" spans="5:16">
      <c r="P49" s="57"/>
    </row>
    <row r="50" spans="5:16">
      <c r="E50" s="44"/>
      <c r="H50" s="45"/>
      <c r="P50" s="57"/>
    </row>
  </sheetData>
  <sheetProtection sheet="1" objects="1" scenarios="1"/>
  <pageMargins left="0.19685039370078741" right="0.23622047244094491" top="0.39370078740157483" bottom="0.47" header="0.19685039370078741" footer="0.26"/>
  <pageSetup paperSize="9" scale="75" orientation="landscape" r:id="rId1"/>
  <headerFooter>
    <oddHeader>&amp;L&amp;"Calibri,Normal"&amp;G&amp;C&amp;"Calibri,Normal"&amp;F&amp;R&amp;"Calibri,Normal"&amp;G</oddHeader>
    <oddFooter>&amp;L&amp;"Calibri,Normal"&amp;D&amp;C&amp;"Calibri,Normal"&amp;A&amp;R&amp;"Calibri,Normal"&amp;P de &amp;N</oddFooter>
  </headerFooter>
  <drawing r:id="rId2"/>
  <legacyDrawingHF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Q52"/>
  <sheetViews>
    <sheetView showZeros="0" zoomScale="90" zoomScaleNormal="90" workbookViewId="0">
      <pane xSplit="2" ySplit="3" topLeftCell="C4" activePane="bottomRight" state="frozen"/>
      <selection activeCell="H12" sqref="H12"/>
      <selection pane="topRight" activeCell="H12" sqref="H12"/>
      <selection pane="bottomLeft" activeCell="H12" sqref="H12"/>
      <selection pane="bottomRight" activeCell="D20" sqref="D20"/>
    </sheetView>
  </sheetViews>
  <sheetFormatPr baseColWidth="10" defaultColWidth="11.453125" defaultRowHeight="14.5"/>
  <cols>
    <col min="1" max="1" width="5.36328125" style="1" customWidth="1"/>
    <col min="2" max="2" width="26.08984375" style="46" bestFit="1" customWidth="1"/>
    <col min="3" max="10" width="11.453125" style="3"/>
    <col min="11" max="11" width="11.453125" style="3" customWidth="1"/>
    <col min="12" max="12" width="11.453125" style="3"/>
    <col min="13" max="14" width="11.453125" style="3" customWidth="1"/>
    <col min="15" max="15" width="11.453125" style="3"/>
    <col min="16" max="16384" width="11.453125" style="1"/>
  </cols>
  <sheetData>
    <row r="1" spans="1:15" ht="15.5">
      <c r="B1" s="2" t="s">
        <v>64</v>
      </c>
    </row>
    <row r="2" spans="1:15" ht="15" thickBot="1">
      <c r="C2" s="4" t="s">
        <v>65</v>
      </c>
    </row>
    <row r="3" spans="1:15" ht="15" thickBot="1">
      <c r="A3" s="5" t="s">
        <v>66</v>
      </c>
      <c r="B3" s="6" t="s">
        <v>3</v>
      </c>
      <c r="C3" s="59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60" t="s">
        <v>15</v>
      </c>
      <c r="O3" s="61" t="s">
        <v>16</v>
      </c>
    </row>
    <row r="4" spans="1:15">
      <c r="A4" s="107">
        <v>1</v>
      </c>
      <c r="B4" s="108" t="s">
        <v>17</v>
      </c>
      <c r="C4" s="64">
        <v>11666.1</v>
      </c>
      <c r="D4" s="65">
        <v>11253</v>
      </c>
      <c r="E4" s="109">
        <v>13892.75</v>
      </c>
      <c r="F4" s="110">
        <v>15760.91</v>
      </c>
      <c r="G4" s="110">
        <v>14156</v>
      </c>
      <c r="H4" s="110">
        <v>16332.91</v>
      </c>
      <c r="I4" s="110">
        <v>14593.62</v>
      </c>
      <c r="J4" s="110">
        <v>15502.35</v>
      </c>
      <c r="K4" s="110">
        <v>14364.38</v>
      </c>
      <c r="L4" s="110">
        <v>14690.79</v>
      </c>
      <c r="M4" s="110">
        <v>14974.06</v>
      </c>
      <c r="N4" s="111">
        <v>16156.92</v>
      </c>
      <c r="O4" s="67">
        <f>SUM(Tabla3[[#This Row],[Gener]:[Desembre]])</f>
        <v>173343.79</v>
      </c>
    </row>
    <row r="5" spans="1:15">
      <c r="A5" s="16">
        <v>2</v>
      </c>
      <c r="B5" s="112" t="s">
        <v>18</v>
      </c>
      <c r="C5" s="70">
        <v>12809.08</v>
      </c>
      <c r="D5" s="71">
        <v>10866.24</v>
      </c>
      <c r="E5" s="113">
        <v>14475.76</v>
      </c>
      <c r="F5" s="19">
        <v>14240</v>
      </c>
      <c r="G5" s="19">
        <v>14282.37</v>
      </c>
      <c r="H5" s="19">
        <v>17328</v>
      </c>
      <c r="I5" s="19">
        <v>15166.92</v>
      </c>
      <c r="J5" s="19">
        <v>16503.82</v>
      </c>
      <c r="K5" s="19">
        <v>13515.84</v>
      </c>
      <c r="L5" s="19">
        <v>12813.38</v>
      </c>
      <c r="M5" s="19">
        <v>13772.65</v>
      </c>
      <c r="N5" s="48">
        <v>13679.27</v>
      </c>
      <c r="O5" s="73">
        <f>SUM(Tabla3[[#This Row],[Gener]:[Desembre]])</f>
        <v>169453.33</v>
      </c>
    </row>
    <row r="6" spans="1:15">
      <c r="A6" s="16">
        <v>3</v>
      </c>
      <c r="B6" s="112" t="s">
        <v>19</v>
      </c>
      <c r="C6" s="70">
        <v>44322.99</v>
      </c>
      <c r="D6" s="71">
        <v>37399.46</v>
      </c>
      <c r="E6" s="113">
        <v>44579.05</v>
      </c>
      <c r="F6" s="19">
        <v>49792.05</v>
      </c>
      <c r="G6" s="19">
        <v>50146.21</v>
      </c>
      <c r="H6" s="19">
        <v>52921.1</v>
      </c>
      <c r="I6" s="19">
        <v>51664.63</v>
      </c>
      <c r="J6" s="19">
        <v>43303.96</v>
      </c>
      <c r="K6" s="19">
        <v>43619.27</v>
      </c>
      <c r="L6" s="19">
        <v>44882.58</v>
      </c>
      <c r="M6" s="19">
        <v>46892.26</v>
      </c>
      <c r="N6" s="48">
        <v>44234.51</v>
      </c>
      <c r="O6" s="73">
        <f>SUM(Tabla3[[#This Row],[Gener]:[Desembre]])</f>
        <v>553758.07000000007</v>
      </c>
    </row>
    <row r="7" spans="1:15">
      <c r="A7" s="16">
        <v>4</v>
      </c>
      <c r="B7" s="112" t="s">
        <v>20</v>
      </c>
      <c r="C7" s="70">
        <v>1248.54</v>
      </c>
      <c r="D7" s="71">
        <v>1548.35</v>
      </c>
      <c r="E7" s="113">
        <v>1176.51</v>
      </c>
      <c r="F7" s="19">
        <v>1549.29</v>
      </c>
      <c r="G7" s="19">
        <v>1194.76</v>
      </c>
      <c r="H7" s="19">
        <v>1249.8599999999999</v>
      </c>
      <c r="I7" s="19">
        <v>1577.14</v>
      </c>
      <c r="J7" s="19">
        <v>2093.94</v>
      </c>
      <c r="K7" s="19">
        <v>1878.32</v>
      </c>
      <c r="L7" s="19">
        <v>1452.02</v>
      </c>
      <c r="M7" s="19">
        <v>1070.93</v>
      </c>
      <c r="N7" s="48">
        <v>1819.32</v>
      </c>
      <c r="O7" s="73">
        <f>SUM(Tabla3[[#This Row],[Gener]:[Desembre]])</f>
        <v>17858.98</v>
      </c>
    </row>
    <row r="8" spans="1:15">
      <c r="A8" s="16">
        <v>5</v>
      </c>
      <c r="B8" s="112" t="s">
        <v>21</v>
      </c>
      <c r="C8" s="70">
        <v>16961.93</v>
      </c>
      <c r="D8" s="71">
        <v>13963.17</v>
      </c>
      <c r="E8" s="113">
        <v>16795.55</v>
      </c>
      <c r="F8" s="19">
        <v>18914.53</v>
      </c>
      <c r="G8" s="19">
        <v>16679.52</v>
      </c>
      <c r="H8" s="19">
        <v>18433.52</v>
      </c>
      <c r="I8" s="19">
        <v>19223.989999999998</v>
      </c>
      <c r="J8" s="19">
        <v>13600</v>
      </c>
      <c r="K8" s="19">
        <v>17740</v>
      </c>
      <c r="L8" s="19">
        <v>18240</v>
      </c>
      <c r="M8" s="19">
        <v>15780</v>
      </c>
      <c r="N8" s="48">
        <v>19180</v>
      </c>
      <c r="O8" s="73">
        <f>SUM(Tabla3[[#This Row],[Gener]:[Desembre]])</f>
        <v>205512.21</v>
      </c>
    </row>
    <row r="9" spans="1:15">
      <c r="A9" s="16">
        <v>6</v>
      </c>
      <c r="B9" s="112" t="s">
        <v>22</v>
      </c>
      <c r="C9" s="70">
        <v>28687.21</v>
      </c>
      <c r="D9" s="71">
        <v>26948.41</v>
      </c>
      <c r="E9" s="113">
        <v>31412.78</v>
      </c>
      <c r="F9" s="19">
        <v>30301.27</v>
      </c>
      <c r="G9" s="19">
        <v>34923.72</v>
      </c>
      <c r="H9" s="19">
        <v>34124.17</v>
      </c>
      <c r="I9" s="19">
        <v>33601</v>
      </c>
      <c r="J9" s="19">
        <v>31228.23</v>
      </c>
      <c r="K9" s="19">
        <v>30834.240000000002</v>
      </c>
      <c r="L9" s="19">
        <v>32187.19</v>
      </c>
      <c r="M9" s="19">
        <v>33529.47</v>
      </c>
      <c r="N9" s="48">
        <v>32947.42</v>
      </c>
      <c r="O9" s="73">
        <f>SUM(Tabla3[[#This Row],[Gener]:[Desembre]])</f>
        <v>380725.11000000004</v>
      </c>
    </row>
    <row r="10" spans="1:15">
      <c r="A10" s="16">
        <v>8</v>
      </c>
      <c r="B10" s="112" t="s">
        <v>23</v>
      </c>
      <c r="C10" s="70">
        <v>2264.29</v>
      </c>
      <c r="D10" s="71">
        <v>2504.81</v>
      </c>
      <c r="E10" s="113">
        <v>1770.12</v>
      </c>
      <c r="F10" s="114">
        <v>2588.0500000000002</v>
      </c>
      <c r="G10" s="114">
        <v>1890.55</v>
      </c>
      <c r="H10" s="114">
        <v>2504.63</v>
      </c>
      <c r="I10" s="114">
        <v>4221.91</v>
      </c>
      <c r="J10" s="114">
        <v>3780.53</v>
      </c>
      <c r="K10" s="114">
        <v>3354.12</v>
      </c>
      <c r="L10" s="114">
        <v>2345.29</v>
      </c>
      <c r="M10" s="114">
        <v>1785.52</v>
      </c>
      <c r="N10" s="115">
        <v>2759.56</v>
      </c>
      <c r="O10" s="73">
        <f>SUM(Tabla3[[#This Row],[Gener]:[Desembre]])</f>
        <v>31769.38</v>
      </c>
    </row>
    <row r="11" spans="1:15">
      <c r="A11" s="16">
        <v>9</v>
      </c>
      <c r="B11" s="116" t="s">
        <v>24</v>
      </c>
      <c r="C11" s="70">
        <v>0</v>
      </c>
      <c r="D11" s="71">
        <v>0</v>
      </c>
      <c r="E11" s="113">
        <v>0</v>
      </c>
      <c r="F11" s="19"/>
      <c r="G11" s="19"/>
      <c r="H11" s="19"/>
      <c r="I11" s="19"/>
      <c r="J11" s="19"/>
      <c r="K11" s="19"/>
      <c r="L11" s="19">
        <v>0</v>
      </c>
      <c r="M11" s="19"/>
      <c r="N11" s="48"/>
      <c r="O11" s="73">
        <f>SUM(Tabla3[[#This Row],[Gener]:[Desembre]])</f>
        <v>0</v>
      </c>
    </row>
    <row r="12" spans="1:15">
      <c r="A12" s="16">
        <v>10</v>
      </c>
      <c r="B12" s="116" t="s">
        <v>25</v>
      </c>
      <c r="C12" s="70">
        <f>27017.32+380</f>
        <v>27397.32</v>
      </c>
      <c r="D12" s="71">
        <v>23693.71</v>
      </c>
      <c r="E12" s="113">
        <v>27066.39</v>
      </c>
      <c r="F12" s="19">
        <v>31029.62</v>
      </c>
      <c r="G12" s="19">
        <v>27407.66</v>
      </c>
      <c r="H12" s="19">
        <v>29291.61</v>
      </c>
      <c r="I12" s="19">
        <v>29454.17</v>
      </c>
      <c r="J12" s="19">
        <v>24942.18</v>
      </c>
      <c r="K12" s="19">
        <v>27170.66</v>
      </c>
      <c r="L12" s="19">
        <v>27148.13</v>
      </c>
      <c r="M12" s="19">
        <v>29359.33</v>
      </c>
      <c r="N12" s="48">
        <v>26151.11</v>
      </c>
      <c r="O12" s="73">
        <f>SUM(Tabla3[[#This Row],[Gener]:[Desembre]])</f>
        <v>330111.88999999996</v>
      </c>
    </row>
    <row r="13" spans="1:15">
      <c r="A13" s="16">
        <v>11</v>
      </c>
      <c r="B13" s="112" t="s">
        <v>26</v>
      </c>
      <c r="C13" s="70">
        <f>42522.51+2760+50080</f>
        <v>95362.510000000009</v>
      </c>
      <c r="D13" s="71">
        <v>84865.540000000008</v>
      </c>
      <c r="E13" s="113">
        <v>91101.440000000002</v>
      </c>
      <c r="F13" s="19">
        <f>10793.79+260+81100</f>
        <v>92153.790000000008</v>
      </c>
      <c r="G13" s="19">
        <v>95879.15</v>
      </c>
      <c r="H13" s="19">
        <v>95339.54</v>
      </c>
      <c r="I13" s="19">
        <v>91556.160000000003</v>
      </c>
      <c r="J13" s="19">
        <v>83441.8</v>
      </c>
      <c r="K13" s="19">
        <v>89703.4</v>
      </c>
      <c r="L13" s="19">
        <v>100108.79</v>
      </c>
      <c r="M13" s="19">
        <f>4811.74+2580+87300</f>
        <v>94691.74</v>
      </c>
      <c r="N13" s="48">
        <v>100570.74</v>
      </c>
      <c r="O13" s="73">
        <f>SUM(Tabla3[[#This Row],[Gener]:[Desembre]])</f>
        <v>1114774.6000000003</v>
      </c>
    </row>
    <row r="14" spans="1:15">
      <c r="A14" s="16">
        <v>12</v>
      </c>
      <c r="B14" s="112" t="s">
        <v>27</v>
      </c>
      <c r="C14" s="70">
        <v>2803.72</v>
      </c>
      <c r="D14" s="71">
        <v>3585.57</v>
      </c>
      <c r="E14" s="113">
        <v>3937.96</v>
      </c>
      <c r="F14" s="19">
        <v>3543.69</v>
      </c>
      <c r="G14" s="19">
        <v>2968.22</v>
      </c>
      <c r="H14" s="19">
        <v>4888.1499999999996</v>
      </c>
      <c r="I14" s="19">
        <v>3730.59</v>
      </c>
      <c r="J14" s="19">
        <v>3425.48</v>
      </c>
      <c r="K14" s="19">
        <v>4201.5600000000004</v>
      </c>
      <c r="L14" s="19">
        <v>3462.77</v>
      </c>
      <c r="M14" s="19">
        <v>2788.66</v>
      </c>
      <c r="N14" s="48">
        <v>3943.81</v>
      </c>
      <c r="O14" s="73">
        <f>SUM(Tabla3[[#This Row],[Gener]:[Desembre]])</f>
        <v>43280.179999999993</v>
      </c>
    </row>
    <row r="15" spans="1:15">
      <c r="A15" s="16">
        <v>13</v>
      </c>
      <c r="B15" s="116" t="s">
        <v>28</v>
      </c>
      <c r="C15" s="70">
        <v>16757.2</v>
      </c>
      <c r="D15" s="71">
        <v>15613.4</v>
      </c>
      <c r="E15" s="113">
        <v>16040</v>
      </c>
      <c r="F15" s="19">
        <f>1860+16840</f>
        <v>18700</v>
      </c>
      <c r="G15" s="19">
        <v>16940</v>
      </c>
      <c r="H15" s="19">
        <v>17620</v>
      </c>
      <c r="I15" s="19">
        <v>17059.09</v>
      </c>
      <c r="J15" s="19">
        <v>14753.53</v>
      </c>
      <c r="K15" s="19">
        <v>16974.48</v>
      </c>
      <c r="L15" s="19">
        <v>17808.400000000001</v>
      </c>
      <c r="M15" s="19">
        <v>16442.05</v>
      </c>
      <c r="N15" s="48">
        <v>21394.92</v>
      </c>
      <c r="O15" s="73">
        <f>SUM(Tabla3[[#This Row],[Gener]:[Desembre]])</f>
        <v>206103.07</v>
      </c>
    </row>
    <row r="16" spans="1:15">
      <c r="A16" s="16">
        <v>14</v>
      </c>
      <c r="B16" s="112" t="s">
        <v>29</v>
      </c>
      <c r="C16" s="70">
        <v>0</v>
      </c>
      <c r="D16" s="71">
        <v>0</v>
      </c>
      <c r="E16" s="113">
        <v>0</v>
      </c>
      <c r="F16" s="19"/>
      <c r="G16" s="19"/>
      <c r="H16" s="19"/>
      <c r="I16" s="19"/>
      <c r="J16" s="19"/>
      <c r="K16" s="19"/>
      <c r="L16" s="19">
        <v>0</v>
      </c>
      <c r="M16" s="19"/>
      <c r="N16" s="48"/>
      <c r="O16" s="73">
        <f>SUM(Tabla3[[#This Row],[Gener]:[Desembre]])</f>
        <v>0</v>
      </c>
    </row>
    <row r="17" spans="1:15">
      <c r="A17" s="16">
        <v>15</v>
      </c>
      <c r="B17" s="112" t="s">
        <v>30</v>
      </c>
      <c r="C17" s="70">
        <v>29931.96</v>
      </c>
      <c r="D17" s="71">
        <v>24717.13</v>
      </c>
      <c r="E17" s="113">
        <v>23802.75</v>
      </c>
      <c r="F17" s="19">
        <v>34054.800000000003</v>
      </c>
      <c r="G17" s="19">
        <v>29676.6</v>
      </c>
      <c r="H17" s="19">
        <v>28304.14</v>
      </c>
      <c r="I17" s="19">
        <v>34066.449999999997</v>
      </c>
      <c r="J17" s="19">
        <v>22599.82</v>
      </c>
      <c r="K17" s="19">
        <v>26091.439999999999</v>
      </c>
      <c r="L17" s="19">
        <v>33298.47</v>
      </c>
      <c r="M17" s="19">
        <v>27302.9</v>
      </c>
      <c r="N17" s="48">
        <v>31674.83</v>
      </c>
      <c r="O17" s="73">
        <f>SUM(Tabla3[[#This Row],[Gener]:[Desembre]])</f>
        <v>345521.2900000001</v>
      </c>
    </row>
    <row r="18" spans="1:15">
      <c r="A18" s="16">
        <v>16</v>
      </c>
      <c r="B18" s="112" t="s">
        <v>31</v>
      </c>
      <c r="C18" s="70">
        <v>0</v>
      </c>
      <c r="D18" s="71">
        <v>0</v>
      </c>
      <c r="E18" s="113">
        <v>0</v>
      </c>
      <c r="F18" s="19"/>
      <c r="G18" s="19"/>
      <c r="H18" s="19"/>
      <c r="I18" s="19"/>
      <c r="J18" s="19"/>
      <c r="K18" s="19"/>
      <c r="L18" s="19">
        <v>0</v>
      </c>
      <c r="M18" s="19"/>
      <c r="N18" s="48"/>
      <c r="O18" s="73">
        <f>SUM(Tabla3[[#This Row],[Gener]:[Desembre]])</f>
        <v>0</v>
      </c>
    </row>
    <row r="19" spans="1:15">
      <c r="A19" s="16">
        <v>17</v>
      </c>
      <c r="B19" s="112" t="s">
        <v>32</v>
      </c>
      <c r="C19" s="70">
        <f>18381.34+980+2400</f>
        <v>21761.34</v>
      </c>
      <c r="D19" s="71">
        <v>19601.2</v>
      </c>
      <c r="E19" s="113">
        <v>20656.03</v>
      </c>
      <c r="F19" s="19">
        <f>20257.8+2640</f>
        <v>22897.8</v>
      </c>
      <c r="G19" s="19">
        <v>24677.51</v>
      </c>
      <c r="H19" s="19">
        <v>23928.22</v>
      </c>
      <c r="I19" s="19">
        <v>20793.71</v>
      </c>
      <c r="J19" s="19">
        <v>21431.65</v>
      </c>
      <c r="K19" s="19">
        <v>20686.099999999999</v>
      </c>
      <c r="L19" s="19">
        <v>21633.96</v>
      </c>
      <c r="M19" s="19">
        <f>21150.56+2580</f>
        <v>23730.560000000001</v>
      </c>
      <c r="N19" s="48">
        <v>22059.66</v>
      </c>
      <c r="O19" s="73">
        <f>SUM(Tabla3[[#This Row],[Gener]:[Desembre]])</f>
        <v>263857.73999999993</v>
      </c>
    </row>
    <row r="20" spans="1:15">
      <c r="A20" s="16">
        <v>18</v>
      </c>
      <c r="B20" s="112" t="s">
        <v>33</v>
      </c>
      <c r="C20" s="70">
        <f>15855.41+69140</f>
        <v>84995.41</v>
      </c>
      <c r="D20" s="71">
        <v>73484.479999999996</v>
      </c>
      <c r="E20" s="113">
        <v>83321.39</v>
      </c>
      <c r="F20" s="19">
        <f>14676.57+72680</f>
        <v>87356.57</v>
      </c>
      <c r="G20" s="19">
        <v>87624.24</v>
      </c>
      <c r="H20" s="19">
        <v>91934.93</v>
      </c>
      <c r="I20" s="19">
        <v>85688.790000000008</v>
      </c>
      <c r="J20" s="19">
        <v>79546.12</v>
      </c>
      <c r="K20" s="19">
        <v>85206.32</v>
      </c>
      <c r="L20" s="19">
        <v>87572.74</v>
      </c>
      <c r="M20" s="19">
        <f>16437.29+74557.95</f>
        <v>90995.239999999991</v>
      </c>
      <c r="N20" s="48">
        <v>98069.05</v>
      </c>
      <c r="O20" s="73">
        <f>SUM(Tabla3[[#This Row],[Gener]:[Desembre]])</f>
        <v>1035795.28</v>
      </c>
    </row>
    <row r="21" spans="1:15">
      <c r="A21" s="16">
        <v>19</v>
      </c>
      <c r="B21" s="112" t="s">
        <v>34</v>
      </c>
      <c r="C21" s="70">
        <f>15100+729.57</f>
        <v>15829.57</v>
      </c>
      <c r="D21" s="71">
        <v>12425.65</v>
      </c>
      <c r="E21" s="113">
        <v>14657.52</v>
      </c>
      <c r="F21" s="19">
        <f>12120+1092.69</f>
        <v>13212.69</v>
      </c>
      <c r="G21" s="19">
        <v>14159.1</v>
      </c>
      <c r="H21" s="19">
        <v>15234.4</v>
      </c>
      <c r="I21" s="19">
        <v>13771.23</v>
      </c>
      <c r="J21" s="19">
        <v>11003.22</v>
      </c>
      <c r="K21" s="19">
        <v>13526.35</v>
      </c>
      <c r="L21" s="19">
        <v>13825.15</v>
      </c>
      <c r="M21" s="19">
        <f>11860+966.35</f>
        <v>12826.35</v>
      </c>
      <c r="N21" s="48">
        <v>15855.27</v>
      </c>
      <c r="O21" s="73">
        <f>SUM(Tabla3[[#This Row],[Gener]:[Desembre]])</f>
        <v>166326.5</v>
      </c>
    </row>
    <row r="22" spans="1:15">
      <c r="A22" s="16">
        <v>20</v>
      </c>
      <c r="B22" s="112" t="s">
        <v>35</v>
      </c>
      <c r="C22" s="70">
        <v>0</v>
      </c>
      <c r="D22" s="71">
        <v>0</v>
      </c>
      <c r="E22" s="113">
        <v>0</v>
      </c>
      <c r="F22" s="19"/>
      <c r="G22" s="19"/>
      <c r="H22" s="19"/>
      <c r="I22" s="19"/>
      <c r="J22" s="19"/>
      <c r="K22" s="19"/>
      <c r="L22" s="19">
        <v>0</v>
      </c>
      <c r="M22" s="19"/>
      <c r="N22" s="48"/>
      <c r="O22" s="73">
        <f>SUM(Tabla3[[#This Row],[Gener]:[Desembre]])</f>
        <v>0</v>
      </c>
    </row>
    <row r="23" spans="1:15">
      <c r="A23" s="16">
        <v>21</v>
      </c>
      <c r="B23" s="112" t="s">
        <v>36</v>
      </c>
      <c r="C23" s="70">
        <v>731.65</v>
      </c>
      <c r="D23" s="71">
        <v>1000.09</v>
      </c>
      <c r="E23" s="113">
        <v>928.05</v>
      </c>
      <c r="F23" s="19">
        <v>1540.02</v>
      </c>
      <c r="G23" s="19">
        <v>1023.37</v>
      </c>
      <c r="H23" s="19">
        <v>1310.76</v>
      </c>
      <c r="I23" s="19">
        <v>2547.09</v>
      </c>
      <c r="J23" s="19">
        <v>2207.58</v>
      </c>
      <c r="K23" s="19">
        <v>1630.05</v>
      </c>
      <c r="L23" s="19">
        <v>1133.4100000000001</v>
      </c>
      <c r="M23" s="19">
        <v>985.56</v>
      </c>
      <c r="N23" s="48">
        <v>1266.68</v>
      </c>
      <c r="O23" s="73">
        <f>SUM(Tabla3[[#This Row],[Gener]:[Desembre]])</f>
        <v>16304.309999999998</v>
      </c>
    </row>
    <row r="24" spans="1:15">
      <c r="A24" s="16">
        <v>22</v>
      </c>
      <c r="B24" s="112" t="s">
        <v>37</v>
      </c>
      <c r="C24" s="70">
        <f>26593.01+280</f>
        <v>26873.01</v>
      </c>
      <c r="D24" s="71">
        <v>22163.99</v>
      </c>
      <c r="E24" s="113">
        <v>25097.63</v>
      </c>
      <c r="F24" s="19">
        <v>28224.51</v>
      </c>
      <c r="G24" s="19">
        <v>27493.09</v>
      </c>
      <c r="H24" s="19">
        <v>30984.44</v>
      </c>
      <c r="I24" s="19">
        <v>27694.93</v>
      </c>
      <c r="J24" s="19">
        <v>24976.93</v>
      </c>
      <c r="K24" s="19">
        <v>25128.6</v>
      </c>
      <c r="L24" s="19">
        <v>26895.59</v>
      </c>
      <c r="M24" s="19">
        <f>8097.75+20480</f>
        <v>28577.75</v>
      </c>
      <c r="N24" s="48">
        <v>26799.13</v>
      </c>
      <c r="O24" s="73">
        <f>SUM(Tabla3[[#This Row],[Gener]:[Desembre]])</f>
        <v>320909.59999999998</v>
      </c>
    </row>
    <row r="25" spans="1:15">
      <c r="A25" s="16">
        <v>23</v>
      </c>
      <c r="B25" s="116" t="s">
        <v>38</v>
      </c>
      <c r="C25" s="70">
        <v>12640.55</v>
      </c>
      <c r="D25" s="71">
        <v>10876.91</v>
      </c>
      <c r="E25" s="113">
        <v>15532.91</v>
      </c>
      <c r="F25" s="19">
        <v>17144.740000000002</v>
      </c>
      <c r="G25" s="19">
        <v>14318.92</v>
      </c>
      <c r="H25" s="19">
        <v>15124.63</v>
      </c>
      <c r="I25" s="19">
        <v>13943.28</v>
      </c>
      <c r="J25" s="19">
        <v>13188.18</v>
      </c>
      <c r="K25" s="19">
        <v>11810.62</v>
      </c>
      <c r="L25" s="19">
        <v>14436.97</v>
      </c>
      <c r="M25" s="19">
        <f>12906.8+920</f>
        <v>13826.8</v>
      </c>
      <c r="N25" s="48">
        <v>16400</v>
      </c>
      <c r="O25" s="73">
        <f>SUM(Tabla3[[#This Row],[Gener]:[Desembre]])</f>
        <v>169244.50999999998</v>
      </c>
    </row>
    <row r="26" spans="1:15">
      <c r="A26" s="16">
        <v>24</v>
      </c>
      <c r="B26" s="116" t="s">
        <v>39</v>
      </c>
      <c r="C26" s="70">
        <f>716.37+14100</f>
        <v>14816.37</v>
      </c>
      <c r="D26" s="71">
        <v>14459.97</v>
      </c>
      <c r="E26" s="113">
        <v>15143.89</v>
      </c>
      <c r="F26" s="19">
        <f>595.49+15880</f>
        <v>16475.490000000002</v>
      </c>
      <c r="G26" s="19">
        <v>18280.16</v>
      </c>
      <c r="H26" s="19">
        <v>17366.84</v>
      </c>
      <c r="I26" s="19">
        <v>16861.580000000002</v>
      </c>
      <c r="J26" s="19">
        <v>19463.330000000002</v>
      </c>
      <c r="K26" s="19">
        <v>16772.95</v>
      </c>
      <c r="L26" s="19">
        <v>17074.599999999999</v>
      </c>
      <c r="M26" s="19">
        <f>886.59+14420</f>
        <v>15306.59</v>
      </c>
      <c r="N26" s="48">
        <v>16851.830000000002</v>
      </c>
      <c r="O26" s="73">
        <f>SUM(Tabla3[[#This Row],[Gener]:[Desembre]])</f>
        <v>198873.60000000003</v>
      </c>
    </row>
    <row r="27" spans="1:15">
      <c r="A27" s="16">
        <v>25</v>
      </c>
      <c r="B27" s="112" t="s">
        <v>40</v>
      </c>
      <c r="C27" s="70">
        <v>32471.39</v>
      </c>
      <c r="D27" s="71">
        <v>26233.360000000001</v>
      </c>
      <c r="E27" s="113">
        <v>31307.86</v>
      </c>
      <c r="F27" s="19">
        <v>32327.68</v>
      </c>
      <c r="G27" s="19">
        <v>30746.29</v>
      </c>
      <c r="H27" s="19">
        <v>34623.14</v>
      </c>
      <c r="I27" s="19">
        <v>31390.33</v>
      </c>
      <c r="J27" s="19">
        <v>25838.12</v>
      </c>
      <c r="K27" s="19">
        <v>34958.71</v>
      </c>
      <c r="L27" s="19">
        <v>31918.39</v>
      </c>
      <c r="M27" s="19">
        <v>29132.84</v>
      </c>
      <c r="N27" s="48">
        <v>35241.68</v>
      </c>
      <c r="O27" s="73">
        <f>SUM(Tabla3[[#This Row],[Gener]:[Desembre]])</f>
        <v>376189.7900000001</v>
      </c>
    </row>
    <row r="28" spans="1:15">
      <c r="A28" s="16">
        <v>26</v>
      </c>
      <c r="B28" s="116" t="s">
        <v>41</v>
      </c>
      <c r="C28" s="70">
        <v>7260</v>
      </c>
      <c r="D28" s="71">
        <v>6560</v>
      </c>
      <c r="E28" s="113">
        <v>7840</v>
      </c>
      <c r="F28" s="19">
        <v>7060</v>
      </c>
      <c r="G28" s="19">
        <v>8540</v>
      </c>
      <c r="H28" s="19">
        <v>9040</v>
      </c>
      <c r="I28" s="19">
        <v>9280</v>
      </c>
      <c r="J28" s="19">
        <v>8500</v>
      </c>
      <c r="K28" s="19">
        <v>7700</v>
      </c>
      <c r="L28" s="19">
        <v>7960</v>
      </c>
      <c r="M28" s="19">
        <v>8200</v>
      </c>
      <c r="N28" s="48">
        <v>7620</v>
      </c>
      <c r="O28" s="73">
        <f>SUM(Tabla3[[#This Row],[Gener]:[Desembre]])</f>
        <v>95560</v>
      </c>
    </row>
    <row r="29" spans="1:15">
      <c r="A29" s="16">
        <v>27</v>
      </c>
      <c r="B29" s="116" t="s">
        <v>42</v>
      </c>
      <c r="C29" s="70">
        <v>0</v>
      </c>
      <c r="D29" s="71">
        <v>0</v>
      </c>
      <c r="E29" s="113">
        <v>0</v>
      </c>
      <c r="F29" s="19"/>
      <c r="G29" s="19"/>
      <c r="H29" s="19"/>
      <c r="I29" s="19"/>
      <c r="J29" s="19"/>
      <c r="K29" s="19"/>
      <c r="L29" s="19">
        <v>0</v>
      </c>
      <c r="M29" s="19"/>
      <c r="N29" s="48"/>
      <c r="O29" s="73">
        <f>SUM(Tabla3[[#This Row],[Gener]:[Desembre]])</f>
        <v>0</v>
      </c>
    </row>
    <row r="30" spans="1:15">
      <c r="A30" s="16">
        <v>28</v>
      </c>
      <c r="B30" s="116" t="s">
        <v>43</v>
      </c>
      <c r="C30" s="70">
        <v>12791.8</v>
      </c>
      <c r="D30" s="71">
        <v>12810.29</v>
      </c>
      <c r="E30" s="113">
        <v>15916.66</v>
      </c>
      <c r="F30" s="19">
        <v>16092.61</v>
      </c>
      <c r="G30" s="19">
        <v>14982.48</v>
      </c>
      <c r="H30" s="19">
        <v>17747.169999999998</v>
      </c>
      <c r="I30" s="19">
        <v>15602.06</v>
      </c>
      <c r="J30" s="19">
        <v>14881.99</v>
      </c>
      <c r="K30" s="19">
        <v>13144.66</v>
      </c>
      <c r="L30" s="19">
        <v>14938.52</v>
      </c>
      <c r="M30" s="19">
        <v>15059.18</v>
      </c>
      <c r="N30" s="48">
        <v>16054.07</v>
      </c>
      <c r="O30" s="73">
        <f>SUM(Tabla3[[#This Row],[Gener]:[Desembre]])</f>
        <v>180021.49</v>
      </c>
    </row>
    <row r="31" spans="1:15">
      <c r="A31" s="16">
        <v>29</v>
      </c>
      <c r="B31" s="116" t="s">
        <v>44</v>
      </c>
      <c r="C31" s="70">
        <v>135.52000000000001</v>
      </c>
      <c r="D31" s="71">
        <v>160.69</v>
      </c>
      <c r="E31" s="113">
        <v>127.64</v>
      </c>
      <c r="F31" s="19">
        <v>182.65</v>
      </c>
      <c r="G31" s="19">
        <v>271.33</v>
      </c>
      <c r="H31" s="19">
        <v>254.76</v>
      </c>
      <c r="I31" s="19">
        <v>493.86</v>
      </c>
      <c r="J31" s="19">
        <v>397.95</v>
      </c>
      <c r="K31" s="19">
        <v>377.51</v>
      </c>
      <c r="L31" s="19">
        <v>312.24</v>
      </c>
      <c r="M31" s="19">
        <v>237.99</v>
      </c>
      <c r="N31" s="48">
        <v>354.44</v>
      </c>
      <c r="O31" s="73">
        <f>SUM(Tabla3[[#This Row],[Gener]:[Desembre]])</f>
        <v>3306.5799999999995</v>
      </c>
    </row>
    <row r="32" spans="1:15">
      <c r="A32" s="16">
        <v>30</v>
      </c>
      <c r="B32" s="116" t="s">
        <v>45</v>
      </c>
      <c r="C32" s="70">
        <v>22880</v>
      </c>
      <c r="D32" s="71">
        <v>19920</v>
      </c>
      <c r="E32" s="113">
        <v>24460</v>
      </c>
      <c r="F32" s="19">
        <v>23860</v>
      </c>
      <c r="G32" s="19">
        <v>27860</v>
      </c>
      <c r="H32" s="19">
        <v>27640</v>
      </c>
      <c r="I32" s="19">
        <v>27200</v>
      </c>
      <c r="J32" s="19">
        <v>25260</v>
      </c>
      <c r="K32" s="19">
        <v>24380</v>
      </c>
      <c r="L32" s="19">
        <v>24800</v>
      </c>
      <c r="M32" s="19">
        <v>25800</v>
      </c>
      <c r="N32" s="48">
        <v>21460</v>
      </c>
      <c r="O32" s="73">
        <f>SUM(Tabla3[[#This Row],[Gener]:[Desembre]])</f>
        <v>295520</v>
      </c>
    </row>
    <row r="33" spans="1:17">
      <c r="A33" s="16">
        <v>31</v>
      </c>
      <c r="B33" s="116" t="s">
        <v>46</v>
      </c>
      <c r="C33" s="70">
        <v>3027.28</v>
      </c>
      <c r="D33" s="71">
        <v>4937.53</v>
      </c>
      <c r="E33" s="113">
        <v>3378.01</v>
      </c>
      <c r="F33" s="19">
        <v>3240.18</v>
      </c>
      <c r="G33" s="19">
        <v>4027.34</v>
      </c>
      <c r="H33" s="19">
        <v>4618.7</v>
      </c>
      <c r="I33" s="19">
        <v>3075.07</v>
      </c>
      <c r="J33" s="19">
        <v>3409.04</v>
      </c>
      <c r="K33" s="19">
        <v>3193.01</v>
      </c>
      <c r="L33" s="19">
        <v>3221.95</v>
      </c>
      <c r="M33" s="19">
        <v>3318.26</v>
      </c>
      <c r="N33" s="48">
        <v>3758.78</v>
      </c>
      <c r="O33" s="73">
        <f>SUM(Tabla3[[#This Row],[Gener]:[Desembre]])</f>
        <v>43205.15</v>
      </c>
    </row>
    <row r="34" spans="1:17">
      <c r="A34" s="16">
        <v>32</v>
      </c>
      <c r="B34" s="116" t="s">
        <v>47</v>
      </c>
      <c r="C34" s="70">
        <v>17510.37</v>
      </c>
      <c r="D34" s="71">
        <v>13446.36</v>
      </c>
      <c r="E34" s="113">
        <v>18452.34</v>
      </c>
      <c r="F34" s="19">
        <v>17419.22</v>
      </c>
      <c r="G34" s="19">
        <v>17916.21</v>
      </c>
      <c r="H34" s="19">
        <v>19876.88</v>
      </c>
      <c r="I34" s="19">
        <v>21132.82</v>
      </c>
      <c r="J34" s="19">
        <v>19786.68</v>
      </c>
      <c r="K34" s="19">
        <v>19395.689999999999</v>
      </c>
      <c r="L34" s="19">
        <v>17414.189999999999</v>
      </c>
      <c r="M34" s="19">
        <v>16528.86</v>
      </c>
      <c r="N34" s="48">
        <v>20292.52</v>
      </c>
      <c r="O34" s="73">
        <f>SUM(Tabla3[[#This Row],[Gener]:[Desembre]])</f>
        <v>219172.13999999998</v>
      </c>
      <c r="Q34" s="57"/>
    </row>
    <row r="35" spans="1:17">
      <c r="A35" s="16">
        <v>33</v>
      </c>
      <c r="B35" s="112" t="s">
        <v>48</v>
      </c>
      <c r="C35" s="70">
        <v>0</v>
      </c>
      <c r="D35" s="71">
        <v>0</v>
      </c>
      <c r="E35" s="113">
        <v>0</v>
      </c>
      <c r="F35" s="19"/>
      <c r="G35" s="19"/>
      <c r="H35" s="19"/>
      <c r="I35" s="19">
        <v>440</v>
      </c>
      <c r="J35" s="19"/>
      <c r="K35" s="19"/>
      <c r="L35" s="19">
        <v>0</v>
      </c>
      <c r="M35" s="19"/>
      <c r="N35" s="48"/>
      <c r="O35" s="73">
        <f>SUM(Tabla3[[#This Row],[Gener]:[Desembre]])</f>
        <v>440</v>
      </c>
    </row>
    <row r="36" spans="1:17">
      <c r="A36" s="16">
        <v>34</v>
      </c>
      <c r="B36" s="112" t="s">
        <v>49</v>
      </c>
      <c r="C36" s="70">
        <v>5274.08</v>
      </c>
      <c r="D36" s="71">
        <v>6071.91</v>
      </c>
      <c r="E36" s="113">
        <v>6926.02</v>
      </c>
      <c r="F36" s="19">
        <v>6436.76</v>
      </c>
      <c r="G36" s="19">
        <v>5492.17</v>
      </c>
      <c r="H36" s="19">
        <v>7161.07</v>
      </c>
      <c r="I36" s="19">
        <v>8414.5300000000007</v>
      </c>
      <c r="J36" s="19">
        <v>5693.6</v>
      </c>
      <c r="K36" s="19">
        <v>6677.93</v>
      </c>
      <c r="L36" s="19">
        <v>5896.48</v>
      </c>
      <c r="M36" s="19">
        <v>5159.34</v>
      </c>
      <c r="N36" s="48">
        <v>8030.4</v>
      </c>
      <c r="O36" s="73">
        <f>SUM(Tabla3[[#This Row],[Gener]:[Desembre]])</f>
        <v>77234.289999999994</v>
      </c>
    </row>
    <row r="37" spans="1:17">
      <c r="A37" s="16">
        <v>35</v>
      </c>
      <c r="B37" s="112" t="s">
        <v>50</v>
      </c>
      <c r="C37" s="70">
        <v>5780.45</v>
      </c>
      <c r="D37" s="71">
        <v>4762.8999999999996</v>
      </c>
      <c r="E37" s="113">
        <v>6604.31</v>
      </c>
      <c r="F37" s="19">
        <v>6750.76</v>
      </c>
      <c r="G37" s="19">
        <v>6971.89</v>
      </c>
      <c r="H37" s="19">
        <v>7295.96</v>
      </c>
      <c r="I37" s="19">
        <v>6053.05</v>
      </c>
      <c r="J37" s="19">
        <v>6141.29</v>
      </c>
      <c r="K37" s="19">
        <v>6281.8</v>
      </c>
      <c r="L37" s="19">
        <v>6465.8</v>
      </c>
      <c r="M37" s="19">
        <v>7674.49</v>
      </c>
      <c r="N37" s="48">
        <v>8507.0300000000007</v>
      </c>
      <c r="O37" s="73">
        <f>SUM(Tabla3[[#This Row],[Gener]:[Desembre]])</f>
        <v>79289.73000000001</v>
      </c>
    </row>
    <row r="38" spans="1:17">
      <c r="A38" s="16">
        <v>36</v>
      </c>
      <c r="B38" s="112" t="s">
        <v>51</v>
      </c>
      <c r="C38" s="70">
        <v>1143.7</v>
      </c>
      <c r="D38" s="71">
        <v>1245.83</v>
      </c>
      <c r="E38" s="113">
        <v>1691.82</v>
      </c>
      <c r="F38" s="19">
        <v>1443.28</v>
      </c>
      <c r="G38" s="19">
        <v>2086.4</v>
      </c>
      <c r="H38" s="19">
        <v>2059.98</v>
      </c>
      <c r="I38" s="19">
        <v>1671.16</v>
      </c>
      <c r="J38" s="19">
        <v>1442.24</v>
      </c>
      <c r="K38" s="19">
        <v>1878.77</v>
      </c>
      <c r="L38" s="19">
        <v>1566.45</v>
      </c>
      <c r="M38" s="19">
        <v>1335.92</v>
      </c>
      <c r="N38" s="48">
        <v>1742.75</v>
      </c>
      <c r="O38" s="73">
        <f>SUM(Tabla3[[#This Row],[Gener]:[Desembre]])</f>
        <v>19308.3</v>
      </c>
    </row>
    <row r="39" spans="1:17">
      <c r="A39" s="117">
        <v>37</v>
      </c>
      <c r="B39" s="112" t="s">
        <v>52</v>
      </c>
      <c r="C39" s="70">
        <v>10166.030000000001</v>
      </c>
      <c r="D39" s="71">
        <v>9784.1</v>
      </c>
      <c r="E39" s="113">
        <v>11107.9</v>
      </c>
      <c r="F39" s="19">
        <v>9478.02</v>
      </c>
      <c r="G39" s="19">
        <v>9221.41</v>
      </c>
      <c r="H39" s="19">
        <v>10086.94</v>
      </c>
      <c r="I39" s="19">
        <v>11811.63</v>
      </c>
      <c r="J39" s="19">
        <v>11693.02</v>
      </c>
      <c r="K39" s="19">
        <v>12752.4</v>
      </c>
      <c r="L39" s="19">
        <v>11609.54</v>
      </c>
      <c r="M39" s="19">
        <v>11708.03</v>
      </c>
      <c r="N39" s="48">
        <v>11119.69</v>
      </c>
      <c r="O39" s="73">
        <f>SUM(Tabla3[[#This Row],[Gener]:[Desembre]])</f>
        <v>130538.71000000002</v>
      </c>
    </row>
    <row r="40" spans="1:17">
      <c r="A40" s="16">
        <v>38</v>
      </c>
      <c r="B40" s="112" t="s">
        <v>53</v>
      </c>
      <c r="C40" s="70">
        <v>2521.29</v>
      </c>
      <c r="D40" s="71">
        <v>2028.2</v>
      </c>
      <c r="E40" s="113">
        <v>1540.92</v>
      </c>
      <c r="F40" s="19">
        <v>2547.63</v>
      </c>
      <c r="G40" s="19">
        <v>1582.48</v>
      </c>
      <c r="H40" s="19">
        <v>2247.96</v>
      </c>
      <c r="I40" s="19">
        <v>3070.4</v>
      </c>
      <c r="J40" s="19">
        <v>2769.65</v>
      </c>
      <c r="K40" s="19">
        <v>3550.74</v>
      </c>
      <c r="L40" s="19">
        <v>2725.54</v>
      </c>
      <c r="M40" s="19">
        <v>1983.28</v>
      </c>
      <c r="N40" s="48">
        <v>3734.16</v>
      </c>
      <c r="O40" s="73">
        <f>SUM(Tabla3[[#This Row],[Gener]:[Desembre]])</f>
        <v>30302.249999999996</v>
      </c>
    </row>
    <row r="41" spans="1:17">
      <c r="A41" s="16">
        <v>39</v>
      </c>
      <c r="B41" s="112" t="s">
        <v>54</v>
      </c>
      <c r="C41" s="70">
        <f>838.76+7480</f>
        <v>8318.76</v>
      </c>
      <c r="D41" s="71">
        <v>7085.43</v>
      </c>
      <c r="E41" s="113">
        <v>8693.6</v>
      </c>
      <c r="F41" s="19">
        <f>886.71+6980</f>
        <v>7866.71</v>
      </c>
      <c r="G41" s="19">
        <v>8934.9599999999991</v>
      </c>
      <c r="H41" s="19">
        <v>9654.4699999999993</v>
      </c>
      <c r="I41" s="19">
        <v>9748.57</v>
      </c>
      <c r="J41" s="19">
        <v>9478.4699999999993</v>
      </c>
      <c r="K41" s="19">
        <v>8308.94</v>
      </c>
      <c r="L41" s="19">
        <v>9564.619999999999</v>
      </c>
      <c r="M41" s="19">
        <f>1342.78+7980</f>
        <v>9322.7800000000007</v>
      </c>
      <c r="N41" s="48">
        <v>8265.9599999999991</v>
      </c>
      <c r="O41" s="73">
        <f>SUM(Tabla3[[#This Row],[Gener]:[Desembre]])</f>
        <v>105243.26999999999</v>
      </c>
    </row>
    <row r="42" spans="1:17">
      <c r="A42" s="16">
        <v>40</v>
      </c>
      <c r="B42" s="112" t="s">
        <v>55</v>
      </c>
      <c r="C42" s="70">
        <v>308.44</v>
      </c>
      <c r="D42" s="71">
        <v>249.72</v>
      </c>
      <c r="E42" s="113">
        <v>302.58</v>
      </c>
      <c r="F42" s="19">
        <v>284.24</v>
      </c>
      <c r="G42" s="19">
        <v>319.89</v>
      </c>
      <c r="H42" s="19">
        <v>196.04</v>
      </c>
      <c r="I42" s="19">
        <v>525.71</v>
      </c>
      <c r="J42" s="19">
        <v>422.99</v>
      </c>
      <c r="K42" s="19">
        <v>422.81</v>
      </c>
      <c r="L42" s="19">
        <v>289.66000000000003</v>
      </c>
      <c r="M42" s="19">
        <v>154.29</v>
      </c>
      <c r="N42" s="48">
        <v>444.5</v>
      </c>
      <c r="O42" s="73">
        <f>SUM(Tabla3[[#This Row],[Gener]:[Desembre]])</f>
        <v>3920.8699999999994</v>
      </c>
    </row>
    <row r="43" spans="1:17" s="4" customFormat="1" ht="15" thickBot="1">
      <c r="A43" s="28">
        <v>41</v>
      </c>
      <c r="B43" s="118" t="s">
        <v>56</v>
      </c>
      <c r="C43" s="119">
        <v>0</v>
      </c>
      <c r="D43" s="120">
        <v>0</v>
      </c>
      <c r="E43" s="121"/>
      <c r="F43" s="122"/>
      <c r="G43" s="122"/>
      <c r="H43" s="122"/>
      <c r="I43" s="122"/>
      <c r="J43" s="122"/>
      <c r="K43" s="122"/>
      <c r="L43" s="122">
        <v>0</v>
      </c>
      <c r="M43" s="122"/>
      <c r="N43" s="123"/>
      <c r="O43" s="81">
        <f>SUM(Tabla3[[#This Row],[Gener]:[Desembre]])</f>
        <v>0</v>
      </c>
    </row>
    <row r="44" spans="1:17" ht="15" thickBot="1">
      <c r="A44" s="124"/>
      <c r="B44" s="125" t="s">
        <v>16</v>
      </c>
      <c r="C44" s="59">
        <f t="shared" ref="C44:L44" si="0">SUBTOTAL(109,C4:C43)</f>
        <v>597449.85999999987</v>
      </c>
      <c r="D44" s="8">
        <f t="shared" si="0"/>
        <v>526267.39999999991</v>
      </c>
      <c r="E44" s="8">
        <f t="shared" si="0"/>
        <v>599738.1399999999</v>
      </c>
      <c r="F44" s="8">
        <f t="shared" si="0"/>
        <v>634469.56000000006</v>
      </c>
      <c r="G44" s="8">
        <f t="shared" si="0"/>
        <v>632673.99999999988</v>
      </c>
      <c r="H44" s="8">
        <f t="shared" si="0"/>
        <v>666724.91999999981</v>
      </c>
      <c r="I44" s="8">
        <f t="shared" si="0"/>
        <v>647125.47000000009</v>
      </c>
      <c r="J44" s="8">
        <f t="shared" si="0"/>
        <v>582707.69000000006</v>
      </c>
      <c r="K44" s="8">
        <f t="shared" si="0"/>
        <v>607231.66999999993</v>
      </c>
      <c r="L44" s="8">
        <f t="shared" si="0"/>
        <v>629693.60999999987</v>
      </c>
      <c r="M44" s="8">
        <f>SUBTOTAL(109,M4:M43)</f>
        <v>620253.68000000017</v>
      </c>
      <c r="N44" s="8">
        <f>SUBTOTAL(109,N4:N43)</f>
        <v>658440.01</v>
      </c>
      <c r="O44" s="61">
        <f>SUBTOTAL(109,O4:O43)</f>
        <v>7402776.0099999988</v>
      </c>
    </row>
    <row r="45" spans="1:17" ht="15" thickBot="1">
      <c r="A45" s="126"/>
      <c r="B45" s="127" t="s">
        <v>63</v>
      </c>
      <c r="C45" s="128">
        <v>2330.12</v>
      </c>
      <c r="D45" s="129">
        <v>2192.5700000000002</v>
      </c>
      <c r="E45" s="129">
        <v>1281.8600000000001</v>
      </c>
      <c r="F45" s="129">
        <v>230.42</v>
      </c>
      <c r="G45" s="129">
        <v>1726.02</v>
      </c>
      <c r="H45" s="129">
        <v>3575.1000000000004</v>
      </c>
      <c r="I45" s="129">
        <v>2594.7000000000003</v>
      </c>
      <c r="J45" s="129">
        <v>2972.33</v>
      </c>
      <c r="K45" s="129">
        <v>3068.34</v>
      </c>
      <c r="L45" s="129">
        <v>3246.38</v>
      </c>
      <c r="M45" s="129">
        <v>2126.34</v>
      </c>
      <c r="N45" s="129">
        <v>2980</v>
      </c>
      <c r="O45" s="130">
        <f>SUM(Tabla3[[#This Row],[Gener]:[Desembre]])</f>
        <v>28324.180000000004</v>
      </c>
    </row>
    <row r="46" spans="1:17" ht="15" thickBot="1">
      <c r="A46" s="131"/>
      <c r="B46" s="132" t="s">
        <v>57</v>
      </c>
      <c r="C46" s="133">
        <f>C44+C45</f>
        <v>599779.97999999986</v>
      </c>
      <c r="D46" s="134">
        <f>D45+D44</f>
        <v>528459.96999999986</v>
      </c>
      <c r="E46" s="134">
        <f>E45+E44</f>
        <v>601019.99999999988</v>
      </c>
      <c r="F46" s="134">
        <f t="shared" ref="F46:N46" si="1">F45+F44</f>
        <v>634699.9800000001</v>
      </c>
      <c r="G46" s="134">
        <f t="shared" si="1"/>
        <v>634400.0199999999</v>
      </c>
      <c r="H46" s="134">
        <f t="shared" si="1"/>
        <v>670300.01999999979</v>
      </c>
      <c r="I46" s="134">
        <f t="shared" si="1"/>
        <v>649720.17000000004</v>
      </c>
      <c r="J46" s="134">
        <f t="shared" si="1"/>
        <v>585680.02</v>
      </c>
      <c r="K46" s="134">
        <f t="shared" si="1"/>
        <v>610300.00999999989</v>
      </c>
      <c r="L46" s="134">
        <f t="shared" si="1"/>
        <v>632939.98999999987</v>
      </c>
      <c r="M46" s="134">
        <f t="shared" si="1"/>
        <v>622380.02000000014</v>
      </c>
      <c r="N46" s="135">
        <f t="shared" si="1"/>
        <v>661420.01</v>
      </c>
      <c r="O46" s="136">
        <f>SUM(Tabla3[[#This Row],[Gener]:[Desembre]])</f>
        <v>7431100.1900000004</v>
      </c>
    </row>
    <row r="47" spans="1:17" ht="15" thickBot="1">
      <c r="A47" s="124"/>
      <c r="B47" s="100" t="s">
        <v>58</v>
      </c>
      <c r="C47" s="101">
        <v>503899.74000000005</v>
      </c>
      <c r="D47" s="102">
        <v>455080.39999999997</v>
      </c>
      <c r="E47" s="102">
        <v>507040.02</v>
      </c>
      <c r="F47" s="102">
        <v>520320</v>
      </c>
      <c r="G47" s="102">
        <v>549739.98</v>
      </c>
      <c r="H47" s="102">
        <v>521619.62999999995</v>
      </c>
      <c r="I47" s="102">
        <v>598525.08000000007</v>
      </c>
      <c r="J47" s="102">
        <v>530639.98999999987</v>
      </c>
      <c r="K47" s="102">
        <v>557359.98999999976</v>
      </c>
      <c r="L47" s="102">
        <v>561707.25999999989</v>
      </c>
      <c r="M47" s="102">
        <v>536439.85800000001</v>
      </c>
      <c r="N47" s="137">
        <v>587260.01</v>
      </c>
      <c r="O47" s="138">
        <f>SUM(Tabla3[[#This Row],[Gener]:[Desembre]])</f>
        <v>6429631.9579999996</v>
      </c>
    </row>
    <row r="48" spans="1:17">
      <c r="A48" s="124"/>
      <c r="B48" s="40" t="s">
        <v>59</v>
      </c>
      <c r="C48" s="139">
        <f>(C46/C47)-1</f>
        <v>0.19027642284554425</v>
      </c>
      <c r="D48" s="140">
        <f>(D46/D47)-1</f>
        <v>0.1612452876458752</v>
      </c>
      <c r="E48" s="140">
        <f t="shared" ref="E48:O48" si="2">(E46/E47)-1</f>
        <v>0.1853502214677254</v>
      </c>
      <c r="F48" s="140">
        <f t="shared" si="2"/>
        <v>0.21982622232472337</v>
      </c>
      <c r="G48" s="140">
        <f t="shared" si="2"/>
        <v>0.15400015112599208</v>
      </c>
      <c r="H48" s="140">
        <f t="shared" si="2"/>
        <v>0.28503603286555723</v>
      </c>
      <c r="I48" s="140">
        <f t="shared" si="2"/>
        <v>8.5535413152611595E-2</v>
      </c>
      <c r="J48" s="140">
        <f t="shared" si="2"/>
        <v>0.10372386370654074</v>
      </c>
      <c r="K48" s="140">
        <f t="shared" si="2"/>
        <v>9.4983531200365068E-2</v>
      </c>
      <c r="L48" s="140">
        <f t="shared" si="2"/>
        <v>0.12681468635459692</v>
      </c>
      <c r="M48" s="140">
        <f t="shared" si="2"/>
        <v>0.16020465429323139</v>
      </c>
      <c r="N48" s="140">
        <f t="shared" si="2"/>
        <v>0.12628137236860382</v>
      </c>
      <c r="O48" s="140">
        <f t="shared" si="2"/>
        <v>0.15575825156740652</v>
      </c>
    </row>
    <row r="49" spans="1:15">
      <c r="A49" s="141"/>
      <c r="B49" s="142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</row>
    <row r="50" spans="1:15">
      <c r="A50" s="141"/>
      <c r="B50" s="142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</row>
    <row r="51" spans="1:1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</sheetData>
  <sheetProtection sheet="1" objects="1" scenarios="1"/>
  <pageMargins left="0.47" right="0.19685039370078741" top="0.51181102362204722" bottom="0.39370078740157483" header="0.19685039370078741" footer="0.15748031496062992"/>
  <pageSetup paperSize="9" scale="70" orientation="landscape" r:id="rId1"/>
  <headerFooter>
    <oddHeader>&amp;L&amp;"Calibri,Normal"&amp;G&amp;C&amp;"Calibri,Normal"&amp;F&amp;R&amp;"Calibri,Normal"&amp;G</oddHeader>
    <oddFooter>&amp;L&amp;"Calibri,Normal"&amp;D&amp;C&amp;"Calibri,Normal"&amp;A&amp;R&amp;"Calibri,Normal"&amp;P de &amp;N</oddFooter>
  </headerFooter>
  <drawing r:id="rId2"/>
  <legacyDrawingHF r:id="rId3"/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2:R49"/>
  <sheetViews>
    <sheetView showZeros="0" tabSelected="1" zoomScale="90" zoomScaleNormal="90" workbookViewId="0">
      <pane xSplit="2" ySplit="4" topLeftCell="C5" activePane="bottomRight" state="frozen"/>
      <selection activeCell="H12" sqref="H12"/>
      <selection pane="topRight" activeCell="H12" sqref="H12"/>
      <selection pane="bottomLeft" activeCell="H12" sqref="H12"/>
      <selection pane="bottomRight" activeCell="E21" sqref="E21"/>
    </sheetView>
  </sheetViews>
  <sheetFormatPr baseColWidth="10" defaultColWidth="11.453125" defaultRowHeight="14.5"/>
  <cols>
    <col min="1" max="1" width="5.453125" style="1" customWidth="1"/>
    <col min="2" max="2" width="26.08984375" style="46" bestFit="1" customWidth="1"/>
    <col min="3" max="5" width="11.453125" style="3"/>
    <col min="6" max="6" width="11.90625" style="3" bestFit="1" customWidth="1"/>
    <col min="7" max="10" width="11.453125" style="3"/>
    <col min="11" max="11" width="11.90625" style="3" customWidth="1"/>
    <col min="12" max="12" width="11.453125" style="3"/>
    <col min="13" max="13" width="12.54296875" style="3" customWidth="1"/>
    <col min="14" max="14" width="12.36328125" style="3" customWidth="1"/>
    <col min="15" max="15" width="11.453125" style="3"/>
    <col min="16" max="16384" width="11.453125" style="1"/>
  </cols>
  <sheetData>
    <row r="2" spans="1:15" ht="15.5">
      <c r="B2" s="2" t="s">
        <v>61</v>
      </c>
    </row>
    <row r="3" spans="1:15" ht="15" thickBot="1">
      <c r="C3" s="4" t="s">
        <v>62</v>
      </c>
    </row>
    <row r="4" spans="1:15" ht="15" thickBot="1">
      <c r="A4" s="58" t="s">
        <v>2</v>
      </c>
      <c r="B4" s="6" t="s">
        <v>3</v>
      </c>
      <c r="C4" s="59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60" t="s">
        <v>15</v>
      </c>
      <c r="O4" s="61" t="s">
        <v>16</v>
      </c>
    </row>
    <row r="5" spans="1:15">
      <c r="A5" s="62">
        <v>1</v>
      </c>
      <c r="B5" s="63" t="s">
        <v>17</v>
      </c>
      <c r="C5" s="64">
        <v>23259.63</v>
      </c>
      <c r="D5" s="65">
        <v>13488.35</v>
      </c>
      <c r="E5" s="65">
        <v>14301.95</v>
      </c>
      <c r="F5" s="65">
        <v>15007.86</v>
      </c>
      <c r="G5" s="65">
        <v>23469.5</v>
      </c>
      <c r="H5" s="65">
        <v>16630.38</v>
      </c>
      <c r="I5" s="65">
        <v>21154.67</v>
      </c>
      <c r="J5" s="65">
        <v>14044.33</v>
      </c>
      <c r="K5" s="65">
        <v>13445.88</v>
      </c>
      <c r="L5" s="65">
        <v>17389.63</v>
      </c>
      <c r="M5" s="65">
        <v>17290.91</v>
      </c>
      <c r="N5" s="66">
        <v>22320.39</v>
      </c>
      <c r="O5" s="67">
        <f>SUM(Tabla5[[#This Row],[Gener]:[Desembre]])</f>
        <v>211803.48000000004</v>
      </c>
    </row>
    <row r="6" spans="1:15">
      <c r="A6" s="68">
        <v>2</v>
      </c>
      <c r="B6" s="69" t="s">
        <v>18</v>
      </c>
      <c r="C6" s="70">
        <f>29488.44</f>
        <v>29488.44</v>
      </c>
      <c r="D6" s="71">
        <v>11597.21</v>
      </c>
      <c r="E6" s="71">
        <v>10784.15</v>
      </c>
      <c r="F6" s="71">
        <v>13219.22</v>
      </c>
      <c r="G6" s="71">
        <v>21080</v>
      </c>
      <c r="H6" s="71">
        <v>14894.77</v>
      </c>
      <c r="I6" s="71">
        <v>19698.330000000002</v>
      </c>
      <c r="J6" s="71">
        <v>13368.26</v>
      </c>
      <c r="K6" s="71">
        <v>15867.39</v>
      </c>
      <c r="L6" s="71">
        <v>17944.7</v>
      </c>
      <c r="M6" s="71">
        <v>15808.2</v>
      </c>
      <c r="N6" s="72">
        <v>22847.3</v>
      </c>
      <c r="O6" s="73">
        <f>SUM(Tabla5[[#This Row],[Gener]:[Desembre]])</f>
        <v>206597.97000000003</v>
      </c>
    </row>
    <row r="7" spans="1:15">
      <c r="A7" s="68">
        <v>3</v>
      </c>
      <c r="B7" s="69" t="s">
        <v>19</v>
      </c>
      <c r="C7" s="70">
        <v>43083.39</v>
      </c>
      <c r="D7" s="71">
        <v>24643.53</v>
      </c>
      <c r="E7" s="71">
        <v>32105.75</v>
      </c>
      <c r="F7" s="71">
        <f>30879.25</f>
        <v>30879.25</v>
      </c>
      <c r="G7" s="71">
        <v>35977.879999999997</v>
      </c>
      <c r="H7" s="71">
        <v>34481.79</v>
      </c>
      <c r="I7" s="71">
        <v>38243.550000000003</v>
      </c>
      <c r="J7" s="71">
        <v>43002.5</v>
      </c>
      <c r="K7" s="71">
        <v>32903.449999999997</v>
      </c>
      <c r="L7" s="71">
        <v>33382.449999999997</v>
      </c>
      <c r="M7" s="71">
        <v>32652.57</v>
      </c>
      <c r="N7" s="72">
        <v>32014.59</v>
      </c>
      <c r="O7" s="73">
        <f>SUM(Tabla5[[#This Row],[Gener]:[Desembre]])</f>
        <v>413370.70000000007</v>
      </c>
    </row>
    <row r="8" spans="1:15">
      <c r="A8" s="68">
        <v>4</v>
      </c>
      <c r="B8" s="69" t="s">
        <v>20</v>
      </c>
      <c r="C8" s="70">
        <v>3534.55</v>
      </c>
      <c r="D8" s="71">
        <v>2587.83</v>
      </c>
      <c r="E8" s="71">
        <v>1292.31</v>
      </c>
      <c r="F8" s="71"/>
      <c r="G8" s="71">
        <v>1959.43</v>
      </c>
      <c r="H8" s="71">
        <v>1816.67</v>
      </c>
      <c r="I8" s="71">
        <v>3096</v>
      </c>
      <c r="J8" s="71">
        <v>2276.13</v>
      </c>
      <c r="K8" s="71">
        <v>2340</v>
      </c>
      <c r="L8" s="71">
        <v>1873.47</v>
      </c>
      <c r="M8" s="71">
        <v>1161.29</v>
      </c>
      <c r="N8" s="72">
        <v>1115.08</v>
      </c>
      <c r="O8" s="73">
        <f>SUM(Tabla5[[#This Row],[Gener]:[Desembre]])</f>
        <v>23052.760000000002</v>
      </c>
    </row>
    <row r="9" spans="1:15">
      <c r="A9" s="68">
        <v>5</v>
      </c>
      <c r="B9" s="69" t="s">
        <v>21</v>
      </c>
      <c r="C9" s="70">
        <v>22394.13</v>
      </c>
      <c r="D9" s="71">
        <v>11788.19</v>
      </c>
      <c r="E9" s="71">
        <v>10404.620000000001</v>
      </c>
      <c r="F9" s="71">
        <v>11447.83</v>
      </c>
      <c r="G9" s="71">
        <v>12435.38</v>
      </c>
      <c r="H9" s="71">
        <v>24388.83</v>
      </c>
      <c r="I9" s="71"/>
      <c r="J9" s="71">
        <v>25313.8</v>
      </c>
      <c r="K9" s="71">
        <v>26040.76</v>
      </c>
      <c r="L9" s="71">
        <v>16182.27</v>
      </c>
      <c r="M9" s="71">
        <v>7099.33</v>
      </c>
      <c r="N9" s="72">
        <v>16600.060000000001</v>
      </c>
      <c r="O9" s="73">
        <f>SUM(Tabla5[[#This Row],[Gener]:[Desembre]])</f>
        <v>184095.19999999998</v>
      </c>
    </row>
    <row r="10" spans="1:15">
      <c r="A10" s="68">
        <v>6</v>
      </c>
      <c r="B10" s="69" t="s">
        <v>22</v>
      </c>
      <c r="C10" s="70">
        <v>46456.62</v>
      </c>
      <c r="D10" s="71">
        <v>24688.799999999999</v>
      </c>
      <c r="E10" s="71">
        <v>28400.080000000002</v>
      </c>
      <c r="F10" s="71">
        <v>36599.25</v>
      </c>
      <c r="G10" s="71">
        <v>18861.849999999999</v>
      </c>
      <c r="H10" s="71">
        <v>41636.74</v>
      </c>
      <c r="I10" s="71">
        <v>45680.75</v>
      </c>
      <c r="J10" s="71">
        <v>27630.39</v>
      </c>
      <c r="K10" s="71">
        <v>42622.73</v>
      </c>
      <c r="L10" s="71">
        <v>23870.54</v>
      </c>
      <c r="M10" s="71">
        <v>49678.7</v>
      </c>
      <c r="N10" s="72">
        <v>25062.55</v>
      </c>
      <c r="O10" s="73">
        <f>SUM(Tabla5[[#This Row],[Gener]:[Desembre]])</f>
        <v>411188.99999999994</v>
      </c>
    </row>
    <row r="11" spans="1:15">
      <c r="A11" s="68">
        <v>8</v>
      </c>
      <c r="B11" s="69" t="s">
        <v>23</v>
      </c>
      <c r="C11" s="70">
        <v>6172.12</v>
      </c>
      <c r="D11" s="71">
        <v>4563.84</v>
      </c>
      <c r="E11" s="71">
        <v>1938.46</v>
      </c>
      <c r="F11" s="71"/>
      <c r="G11" s="71">
        <v>2830.29</v>
      </c>
      <c r="H11" s="71">
        <v>3633.33</v>
      </c>
      <c r="I11" s="71">
        <v>6731.27</v>
      </c>
      <c r="J11" s="71">
        <v>3983.23</v>
      </c>
      <c r="K11" s="71">
        <v>4420</v>
      </c>
      <c r="L11" s="71">
        <v>3906.33</v>
      </c>
      <c r="M11" s="71"/>
      <c r="N11" s="72">
        <v>2369.54</v>
      </c>
      <c r="O11" s="73">
        <f>SUM(Tabla5[[#This Row],[Gener]:[Desembre]])</f>
        <v>40548.410000000003</v>
      </c>
    </row>
    <row r="12" spans="1:15">
      <c r="A12" s="68">
        <v>9</v>
      </c>
      <c r="B12" s="74" t="s">
        <v>24</v>
      </c>
      <c r="C12" s="70"/>
      <c r="D12" s="71">
        <v>0</v>
      </c>
      <c r="E12" s="71"/>
      <c r="F12" s="71"/>
      <c r="G12" s="71"/>
      <c r="H12" s="71"/>
      <c r="I12" s="71"/>
      <c r="J12" s="71"/>
      <c r="K12" s="71"/>
      <c r="L12" s="71"/>
      <c r="M12" s="71"/>
      <c r="N12" s="72"/>
      <c r="O12" s="73">
        <f>SUM(Tabla5[[#This Row],[Gener]:[Desembre]])</f>
        <v>0</v>
      </c>
    </row>
    <row r="13" spans="1:15">
      <c r="A13" s="68">
        <v>10</v>
      </c>
      <c r="B13" s="74" t="s">
        <v>25</v>
      </c>
      <c r="C13" s="70">
        <v>31775.52</v>
      </c>
      <c r="D13" s="71">
        <v>24824.78</v>
      </c>
      <c r="E13" s="71">
        <v>42773.77</v>
      </c>
      <c r="F13" s="71">
        <v>24809.09</v>
      </c>
      <c r="G13" s="71">
        <v>28804.91</v>
      </c>
      <c r="H13" s="71">
        <v>17091.43</v>
      </c>
      <c r="I13" s="71">
        <v>53243.88</v>
      </c>
      <c r="J13" s="71">
        <v>20648.25</v>
      </c>
      <c r="K13" s="71">
        <v>31749.52</v>
      </c>
      <c r="L13" s="71">
        <v>23441.81</v>
      </c>
      <c r="M13" s="71">
        <v>16206.51</v>
      </c>
      <c r="N13" s="72">
        <v>26286.23</v>
      </c>
      <c r="O13" s="73">
        <f>SUM(Tabla5[[#This Row],[Gener]:[Desembre]])</f>
        <v>341655.7</v>
      </c>
    </row>
    <row r="14" spans="1:15">
      <c r="A14" s="68">
        <v>11</v>
      </c>
      <c r="B14" s="69" t="s">
        <v>26</v>
      </c>
      <c r="C14" s="70">
        <v>114739.03</v>
      </c>
      <c r="D14" s="71">
        <v>79747.649999999994</v>
      </c>
      <c r="E14" s="71">
        <v>106306.86</v>
      </c>
      <c r="F14" s="71">
        <v>69165.09</v>
      </c>
      <c r="G14" s="71">
        <v>50998.63</v>
      </c>
      <c r="H14" s="71">
        <v>112897</v>
      </c>
      <c r="I14" s="71">
        <v>118378.73</v>
      </c>
      <c r="J14" s="71">
        <v>75600.41</v>
      </c>
      <c r="K14" s="71">
        <v>85148.27</v>
      </c>
      <c r="L14" s="71">
        <v>93880.84</v>
      </c>
      <c r="M14" s="71">
        <v>78548.91</v>
      </c>
      <c r="N14" s="72">
        <v>98406.75</v>
      </c>
      <c r="O14" s="73">
        <f>SUM(Tabla5[[#This Row],[Gener]:[Desembre]])</f>
        <v>1083818.17</v>
      </c>
    </row>
    <row r="15" spans="1:15">
      <c r="A15" s="68">
        <v>12</v>
      </c>
      <c r="B15" s="69" t="s">
        <v>27</v>
      </c>
      <c r="C15" s="70">
        <v>6703.42</v>
      </c>
      <c r="D15" s="71">
        <v>3746.29</v>
      </c>
      <c r="E15" s="71">
        <v>4389.68</v>
      </c>
      <c r="F15" s="71">
        <v>4062.37</v>
      </c>
      <c r="G15" s="71">
        <v>4480</v>
      </c>
      <c r="H15" s="71">
        <v>5766.67</v>
      </c>
      <c r="I15" s="71">
        <v>4280.83</v>
      </c>
      <c r="J15" s="71">
        <v>7580.95</v>
      </c>
      <c r="K15" s="71">
        <v>4167.74</v>
      </c>
      <c r="L15" s="71">
        <v>4485.8100000000004</v>
      </c>
      <c r="M15" s="71">
        <v>3468.57</v>
      </c>
      <c r="N15" s="72">
        <v>3783.42</v>
      </c>
      <c r="O15" s="73">
        <f>SUM(Tabla5[[#This Row],[Gener]:[Desembre]])</f>
        <v>56915.749999999993</v>
      </c>
    </row>
    <row r="16" spans="1:15">
      <c r="A16" s="68">
        <v>13</v>
      </c>
      <c r="B16" s="74" t="s">
        <v>28</v>
      </c>
      <c r="C16" s="70">
        <v>24711.200000000001</v>
      </c>
      <c r="D16" s="71">
        <v>2547.19</v>
      </c>
      <c r="E16" s="71">
        <v>12457.14</v>
      </c>
      <c r="F16" s="71">
        <v>19281.509999999998</v>
      </c>
      <c r="G16" s="71">
        <v>10769.14</v>
      </c>
      <c r="H16" s="71">
        <v>8422.5</v>
      </c>
      <c r="I16" s="71">
        <v>16238.26</v>
      </c>
      <c r="J16" s="71">
        <v>11583.08</v>
      </c>
      <c r="K16" s="71">
        <v>12015.33</v>
      </c>
      <c r="L16" s="71">
        <v>11896.92</v>
      </c>
      <c r="M16" s="71">
        <v>10345.450000000001</v>
      </c>
      <c r="N16" s="72">
        <v>14013.54</v>
      </c>
      <c r="O16" s="73">
        <f>SUM(Tabla5[[#This Row],[Gener]:[Desembre]])</f>
        <v>154281.26</v>
      </c>
    </row>
    <row r="17" spans="1:15">
      <c r="A17" s="68">
        <v>14</v>
      </c>
      <c r="B17" s="69" t="s">
        <v>29</v>
      </c>
      <c r="C17" s="70"/>
      <c r="D17" s="71">
        <v>0</v>
      </c>
      <c r="E17" s="71"/>
      <c r="F17" s="71"/>
      <c r="G17" s="71"/>
      <c r="H17" s="71"/>
      <c r="I17" s="71"/>
      <c r="J17" s="71"/>
      <c r="K17" s="71"/>
      <c r="L17" s="71"/>
      <c r="M17" s="71"/>
      <c r="N17" s="72"/>
      <c r="O17" s="73">
        <f>SUM(Tabla5[[#This Row],[Gener]:[Desembre]])</f>
        <v>0</v>
      </c>
    </row>
    <row r="18" spans="1:15">
      <c r="A18" s="68">
        <v>15</v>
      </c>
      <c r="B18" s="69" t="s">
        <v>30</v>
      </c>
      <c r="C18" s="70">
        <v>15312.8</v>
      </c>
      <c r="D18" s="71">
        <v>15197.54</v>
      </c>
      <c r="E18" s="71">
        <v>19025.849999999999</v>
      </c>
      <c r="F18" s="71">
        <v>14079.36</v>
      </c>
      <c r="G18" s="71">
        <v>15358.84</v>
      </c>
      <c r="H18" s="71">
        <v>17497.330000000002</v>
      </c>
      <c r="I18" s="71"/>
      <c r="J18" s="71">
        <v>40383.71</v>
      </c>
      <c r="K18" s="71">
        <v>12999.73</v>
      </c>
      <c r="L18" s="71">
        <v>2613.33</v>
      </c>
      <c r="M18" s="71">
        <v>18793.400000000001</v>
      </c>
      <c r="N18" s="72">
        <v>23368.67</v>
      </c>
      <c r="O18" s="73">
        <f>SUM(Tabla5[[#This Row],[Gener]:[Desembre]])</f>
        <v>194630.56</v>
      </c>
    </row>
    <row r="19" spans="1:15">
      <c r="A19" s="68">
        <v>16</v>
      </c>
      <c r="B19" s="69" t="s">
        <v>31</v>
      </c>
      <c r="C19" s="70"/>
      <c r="D19" s="71">
        <v>0</v>
      </c>
      <c r="E19" s="71"/>
      <c r="F19" s="71"/>
      <c r="G19" s="71"/>
      <c r="H19" s="71"/>
      <c r="I19" s="71"/>
      <c r="J19" s="71"/>
      <c r="K19" s="71"/>
      <c r="L19" s="71"/>
      <c r="M19" s="71"/>
      <c r="N19" s="72"/>
      <c r="O19" s="73">
        <f>SUM(Tabla5[[#This Row],[Gener]:[Desembre]])</f>
        <v>0</v>
      </c>
    </row>
    <row r="20" spans="1:15">
      <c r="A20" s="68">
        <v>17</v>
      </c>
      <c r="B20" s="69" t="s">
        <v>32</v>
      </c>
      <c r="C20" s="70">
        <f>14707.41+440</f>
        <v>15147.41</v>
      </c>
      <c r="D20" s="71">
        <v>9922.91</v>
      </c>
      <c r="E20" s="71">
        <v>13687.32</v>
      </c>
      <c r="F20" s="71">
        <f>10522.72+680</f>
        <v>11202.72</v>
      </c>
      <c r="G20" s="71">
        <v>480</v>
      </c>
      <c r="H20" s="71">
        <v>15566.67</v>
      </c>
      <c r="I20" s="71">
        <v>12434.4</v>
      </c>
      <c r="J20" s="71">
        <v>11998.06</v>
      </c>
      <c r="K20" s="71">
        <v>9385</v>
      </c>
      <c r="L20" s="71">
        <f>12324.64+240</f>
        <v>12564.64</v>
      </c>
      <c r="M20" s="71">
        <f>9228.54+400</f>
        <v>9628.5400000000009</v>
      </c>
      <c r="N20" s="72">
        <v>10584.4</v>
      </c>
      <c r="O20" s="73">
        <f>SUM(Tabla5[[#This Row],[Gener]:[Desembre]])</f>
        <v>132602.06999999998</v>
      </c>
    </row>
    <row r="21" spans="1:15">
      <c r="A21" s="68">
        <v>18</v>
      </c>
      <c r="B21" s="69" t="s">
        <v>33</v>
      </c>
      <c r="C21" s="70">
        <v>93399.01</v>
      </c>
      <c r="D21" s="71">
        <v>62049.120000000003</v>
      </c>
      <c r="E21" s="71">
        <v>73760.37</v>
      </c>
      <c r="F21" s="71">
        <v>57611.06</v>
      </c>
      <c r="G21" s="71">
        <v>71505.789999999994</v>
      </c>
      <c r="H21" s="71">
        <v>89151.69</v>
      </c>
      <c r="I21" s="71">
        <v>77473.179999999993</v>
      </c>
      <c r="J21" s="71">
        <v>65974.649999999994</v>
      </c>
      <c r="K21" s="71">
        <f>71783.03+580</f>
        <v>72363.03</v>
      </c>
      <c r="L21" s="71">
        <v>46405</v>
      </c>
      <c r="M21" s="71">
        <v>70126.97</v>
      </c>
      <c r="N21" s="72">
        <v>96206.52</v>
      </c>
      <c r="O21" s="73">
        <f>SUM(Tabla5[[#This Row],[Gener]:[Desembre]])</f>
        <v>876026.39</v>
      </c>
    </row>
    <row r="22" spans="1:15">
      <c r="A22" s="68">
        <v>19</v>
      </c>
      <c r="B22" s="69" t="s">
        <v>34</v>
      </c>
      <c r="C22" s="70">
        <v>18620</v>
      </c>
      <c r="D22" s="71">
        <v>12543.42</v>
      </c>
      <c r="E22" s="71">
        <v>11183.78</v>
      </c>
      <c r="F22" s="71">
        <f>16660+936.92</f>
        <v>17596.919999999998</v>
      </c>
      <c r="G22" s="71">
        <v>11320</v>
      </c>
      <c r="H22" s="71">
        <v>12668</v>
      </c>
      <c r="I22" s="71">
        <v>10120</v>
      </c>
      <c r="J22" s="71">
        <v>9836.52</v>
      </c>
      <c r="K22" s="71">
        <v>15148.28</v>
      </c>
      <c r="L22" s="71">
        <f>9760+810</f>
        <v>10570</v>
      </c>
      <c r="M22" s="71">
        <f>10020+619.02</f>
        <v>10639.02</v>
      </c>
      <c r="N22" s="72">
        <v>12322.21</v>
      </c>
      <c r="O22" s="73">
        <f>SUM(Tabla5[[#This Row],[Gener]:[Desembre]])</f>
        <v>152568.15</v>
      </c>
    </row>
    <row r="23" spans="1:15">
      <c r="A23" s="68">
        <v>20</v>
      </c>
      <c r="B23" s="69" t="s">
        <v>35</v>
      </c>
      <c r="C23" s="70"/>
      <c r="D23" s="71">
        <v>0</v>
      </c>
      <c r="E23" s="71"/>
      <c r="F23" s="71"/>
      <c r="G23" s="71"/>
      <c r="H23" s="71"/>
      <c r="I23" s="71"/>
      <c r="J23" s="71"/>
      <c r="K23" s="71"/>
      <c r="L23" s="71"/>
      <c r="M23" s="71"/>
      <c r="N23" s="72"/>
      <c r="O23" s="73">
        <f>SUM(Tabla5[[#This Row],[Gener]:[Desembre]])</f>
        <v>0</v>
      </c>
    </row>
    <row r="24" spans="1:15">
      <c r="A24" s="68">
        <v>21</v>
      </c>
      <c r="B24" s="69" t="s">
        <v>36</v>
      </c>
      <c r="C24" s="70">
        <v>1493.33</v>
      </c>
      <c r="D24" s="71">
        <v>1879.91</v>
      </c>
      <c r="E24" s="71">
        <v>1453.85</v>
      </c>
      <c r="F24" s="71"/>
      <c r="G24" s="71">
        <v>1741.71</v>
      </c>
      <c r="H24" s="71">
        <v>3740</v>
      </c>
      <c r="I24" s="71">
        <v>818.18</v>
      </c>
      <c r="J24" s="71">
        <v>3636.96</v>
      </c>
      <c r="K24" s="71">
        <v>2080</v>
      </c>
      <c r="L24" s="71">
        <v>2081.63</v>
      </c>
      <c r="M24" s="71">
        <v>4800</v>
      </c>
      <c r="N24" s="72">
        <v>836.31</v>
      </c>
      <c r="O24" s="73">
        <f>SUM(Tabla5[[#This Row],[Gener]:[Desembre]])</f>
        <v>24561.88</v>
      </c>
    </row>
    <row r="25" spans="1:15">
      <c r="A25" s="68">
        <v>22</v>
      </c>
      <c r="B25" s="69" t="s">
        <v>37</v>
      </c>
      <c r="C25" s="70">
        <v>28589.15</v>
      </c>
      <c r="D25" s="71">
        <v>21636.09</v>
      </c>
      <c r="E25" s="71">
        <v>16186.29</v>
      </c>
      <c r="F25" s="71">
        <v>28281.14</v>
      </c>
      <c r="G25" s="71">
        <v>19434.580000000002</v>
      </c>
      <c r="H25" s="71">
        <v>31112.92</v>
      </c>
      <c r="I25" s="71">
        <v>21134.93</v>
      </c>
      <c r="J25" s="71">
        <v>16525.189999999999</v>
      </c>
      <c r="K25" s="71">
        <v>28228.75</v>
      </c>
      <c r="L25" s="71">
        <v>15695.91</v>
      </c>
      <c r="M25" s="71">
        <v>23987.42</v>
      </c>
      <c r="N25" s="72">
        <v>12596.5</v>
      </c>
      <c r="O25" s="73">
        <f>SUM(Tabla5[[#This Row],[Gener]:[Desembre]])</f>
        <v>263408.87</v>
      </c>
    </row>
    <row r="26" spans="1:15">
      <c r="A26" s="68">
        <v>23</v>
      </c>
      <c r="B26" s="74" t="s">
        <v>38</v>
      </c>
      <c r="C26" s="70">
        <v>17202.169999999998</v>
      </c>
      <c r="D26" s="71">
        <v>10860.5</v>
      </c>
      <c r="E26" s="71">
        <v>20340.509999999998</v>
      </c>
      <c r="F26" s="71">
        <v>11700</v>
      </c>
      <c r="G26" s="71">
        <v>11547.93</v>
      </c>
      <c r="H26" s="71">
        <v>8613.23</v>
      </c>
      <c r="I26" s="71">
        <v>14616.67</v>
      </c>
      <c r="J26" s="71">
        <v>14158.76</v>
      </c>
      <c r="K26" s="71">
        <v>17849.09</v>
      </c>
      <c r="L26" s="71">
        <v>12893.54</v>
      </c>
      <c r="M26" s="71">
        <v>16229.85</v>
      </c>
      <c r="N26" s="72">
        <v>17512.84</v>
      </c>
      <c r="O26" s="73">
        <f>SUM(Tabla5[[#This Row],[Gener]:[Desembre]])</f>
        <v>173525.08999999997</v>
      </c>
    </row>
    <row r="27" spans="1:15">
      <c r="A27" s="68">
        <v>24</v>
      </c>
      <c r="B27" s="74" t="s">
        <v>39</v>
      </c>
      <c r="C27" s="70">
        <v>8388.59</v>
      </c>
      <c r="D27" s="71">
        <v>5098.5600000000004</v>
      </c>
      <c r="E27" s="71">
        <v>8076.54</v>
      </c>
      <c r="F27" s="71">
        <v>9340</v>
      </c>
      <c r="G27" s="71">
        <v>17698.46</v>
      </c>
      <c r="H27" s="71">
        <v>11502.34</v>
      </c>
      <c r="I27" s="71">
        <v>13740</v>
      </c>
      <c r="J27" s="71">
        <v>9952</v>
      </c>
      <c r="K27" s="71">
        <v>12073.52</v>
      </c>
      <c r="L27" s="71">
        <v>8976.14</v>
      </c>
      <c r="M27" s="71">
        <v>8571.89</v>
      </c>
      <c r="N27" s="72">
        <v>16986.68</v>
      </c>
      <c r="O27" s="73">
        <f>SUM(Tabla5[[#This Row],[Gener]:[Desembre]])</f>
        <v>130404.72</v>
      </c>
    </row>
    <row r="28" spans="1:15">
      <c r="A28" s="68">
        <v>25</v>
      </c>
      <c r="B28" s="69" t="s">
        <v>40</v>
      </c>
      <c r="C28" s="70">
        <v>43749.06</v>
      </c>
      <c r="D28" s="71">
        <v>23241.71</v>
      </c>
      <c r="E28" s="71">
        <v>36913.68</v>
      </c>
      <c r="F28" s="71">
        <v>34930.699999999997</v>
      </c>
      <c r="G28" s="71">
        <v>18471.89</v>
      </c>
      <c r="H28" s="71">
        <v>30971.23</v>
      </c>
      <c r="I28" s="71">
        <v>51780.17</v>
      </c>
      <c r="J28" s="71">
        <v>32832.69</v>
      </c>
      <c r="K28" s="71">
        <v>14296.6</v>
      </c>
      <c r="L28" s="71">
        <v>26832.1</v>
      </c>
      <c r="M28" s="71">
        <v>33675.599999999999</v>
      </c>
      <c r="N28" s="72">
        <v>38471.050000000003</v>
      </c>
      <c r="O28" s="73">
        <f>SUM(Tabla5[[#This Row],[Gener]:[Desembre]])</f>
        <v>386166.47999999992</v>
      </c>
    </row>
    <row r="29" spans="1:15">
      <c r="A29" s="68">
        <v>26</v>
      </c>
      <c r="B29" s="74" t="s">
        <v>41</v>
      </c>
      <c r="C29" s="70">
        <v>6260</v>
      </c>
      <c r="D29" s="71">
        <v>7220</v>
      </c>
      <c r="E29" s="71">
        <v>5860</v>
      </c>
      <c r="F29" s="71">
        <v>6020</v>
      </c>
      <c r="G29" s="71">
        <v>5920</v>
      </c>
      <c r="H29" s="71">
        <v>6840</v>
      </c>
      <c r="I29" s="71">
        <v>7220</v>
      </c>
      <c r="J29" s="71">
        <v>11420</v>
      </c>
      <c r="K29" s="71">
        <v>5800</v>
      </c>
      <c r="L29" s="71">
        <v>5720</v>
      </c>
      <c r="M29" s="71">
        <v>5420</v>
      </c>
      <c r="N29" s="72">
        <v>4520</v>
      </c>
      <c r="O29" s="73">
        <f>SUM(Tabla5[[#This Row],[Gener]:[Desembre]])</f>
        <v>78220</v>
      </c>
    </row>
    <row r="30" spans="1:15">
      <c r="A30" s="68">
        <v>27</v>
      </c>
      <c r="B30" s="74" t="s">
        <v>42</v>
      </c>
      <c r="C30" s="70"/>
      <c r="D30" s="71">
        <v>0</v>
      </c>
      <c r="E30" s="71"/>
      <c r="F30" s="71"/>
      <c r="G30" s="71"/>
      <c r="H30" s="71"/>
      <c r="I30" s="71"/>
      <c r="J30" s="71"/>
      <c r="K30" s="71"/>
      <c r="L30" s="71"/>
      <c r="M30" s="71"/>
      <c r="N30" s="72"/>
      <c r="O30" s="73">
        <f>SUM(Tabla5[[#This Row],[Gener]:[Desembre]])</f>
        <v>0</v>
      </c>
    </row>
    <row r="31" spans="1:15">
      <c r="A31" s="68">
        <v>28</v>
      </c>
      <c r="B31" s="74" t="s">
        <v>43</v>
      </c>
      <c r="C31" s="70">
        <v>24502.9</v>
      </c>
      <c r="D31" s="71">
        <v>10898.5</v>
      </c>
      <c r="E31" s="71">
        <v>9046.74</v>
      </c>
      <c r="F31" s="71">
        <v>13880</v>
      </c>
      <c r="G31" s="71">
        <v>12497.7</v>
      </c>
      <c r="H31" s="71">
        <v>10278.459999999999</v>
      </c>
      <c r="I31" s="71">
        <v>31880.32</v>
      </c>
      <c r="J31" s="71">
        <v>10001.379999999999</v>
      </c>
      <c r="K31" s="71">
        <v>12274.52</v>
      </c>
      <c r="L31" s="71">
        <v>10600.66</v>
      </c>
      <c r="M31" s="71">
        <v>11224.01</v>
      </c>
      <c r="N31" s="72">
        <v>16043.23</v>
      </c>
      <c r="O31" s="73">
        <f>SUM(Tabla5[[#This Row],[Gener]:[Desembre]])</f>
        <v>173128.42</v>
      </c>
    </row>
    <row r="32" spans="1:15">
      <c r="A32" s="68">
        <v>29</v>
      </c>
      <c r="B32" s="74" t="s">
        <v>44</v>
      </c>
      <c r="C32" s="70"/>
      <c r="D32" s="71">
        <v>227.37</v>
      </c>
      <c r="E32" s="71">
        <v>161.54</v>
      </c>
      <c r="F32" s="71"/>
      <c r="G32" s="71"/>
      <c r="H32" s="71"/>
      <c r="I32" s="71"/>
      <c r="J32" s="71"/>
      <c r="K32" s="71"/>
      <c r="L32" s="71">
        <v>992.04</v>
      </c>
      <c r="M32" s="71">
        <v>258.06</v>
      </c>
      <c r="N32" s="72">
        <v>278.77</v>
      </c>
      <c r="O32" s="73">
        <f>SUM(Tabla5[[#This Row],[Gener]:[Desembre]])</f>
        <v>1917.7799999999997</v>
      </c>
    </row>
    <row r="33" spans="1:18">
      <c r="A33" s="68">
        <v>30</v>
      </c>
      <c r="B33" s="74" t="s">
        <v>45</v>
      </c>
      <c r="C33" s="70">
        <v>21540</v>
      </c>
      <c r="D33" s="71">
        <v>13560</v>
      </c>
      <c r="E33" s="71">
        <v>14660</v>
      </c>
      <c r="F33" s="71">
        <v>21800</v>
      </c>
      <c r="G33" s="71">
        <v>18080</v>
      </c>
      <c r="H33" s="71">
        <v>19020</v>
      </c>
      <c r="I33" s="71">
        <v>23400</v>
      </c>
      <c r="J33" s="71">
        <v>17460</v>
      </c>
      <c r="K33" s="71">
        <v>16500</v>
      </c>
      <c r="L33" s="71">
        <v>18560</v>
      </c>
      <c r="M33" s="71">
        <v>14660</v>
      </c>
      <c r="N33" s="72">
        <v>20500</v>
      </c>
      <c r="O33" s="73">
        <f>SUM(Tabla5[[#This Row],[Gener]:[Desembre]])</f>
        <v>219740</v>
      </c>
    </row>
    <row r="34" spans="1:18">
      <c r="A34" s="68">
        <v>31</v>
      </c>
      <c r="B34" s="74" t="s">
        <v>46</v>
      </c>
      <c r="C34" s="70">
        <v>4938.91</v>
      </c>
      <c r="D34" s="71">
        <v>1700</v>
      </c>
      <c r="E34" s="71">
        <v>1406.04</v>
      </c>
      <c r="F34" s="71">
        <v>1844</v>
      </c>
      <c r="G34" s="71">
        <v>2125</v>
      </c>
      <c r="H34" s="71">
        <v>5557.18</v>
      </c>
      <c r="I34" s="71">
        <v>2330</v>
      </c>
      <c r="J34" s="71">
        <v>2676.92</v>
      </c>
      <c r="K34" s="71">
        <v>2265</v>
      </c>
      <c r="L34" s="71">
        <v>2160</v>
      </c>
      <c r="M34" s="71">
        <v>2063.41</v>
      </c>
      <c r="N34" s="72">
        <v>3688.17</v>
      </c>
      <c r="O34" s="73">
        <f>SUM(Tabla5[[#This Row],[Gener]:[Desembre]])</f>
        <v>32754.630000000005</v>
      </c>
    </row>
    <row r="35" spans="1:18">
      <c r="A35" s="68">
        <v>32</v>
      </c>
      <c r="B35" s="74" t="s">
        <v>47</v>
      </c>
      <c r="C35" s="70">
        <v>20710.060000000001</v>
      </c>
      <c r="D35" s="71">
        <v>18344.47</v>
      </c>
      <c r="E35" s="71">
        <v>26254.92</v>
      </c>
      <c r="F35" s="71">
        <v>20705.419999999998</v>
      </c>
      <c r="G35" s="71">
        <v>8820</v>
      </c>
      <c r="H35" s="71">
        <v>25237.42</v>
      </c>
      <c r="I35" s="71">
        <v>33480.07</v>
      </c>
      <c r="J35" s="71">
        <v>15506.64</v>
      </c>
      <c r="K35" s="71">
        <v>22350.48</v>
      </c>
      <c r="L35" s="71">
        <v>22014.12</v>
      </c>
      <c r="M35" s="71">
        <v>16164.62</v>
      </c>
      <c r="N35" s="72">
        <v>28328.31</v>
      </c>
      <c r="O35" s="73">
        <f>SUM(Tabla5[[#This Row],[Gener]:[Desembre]])</f>
        <v>257916.53</v>
      </c>
    </row>
    <row r="36" spans="1:18">
      <c r="A36" s="68">
        <v>33</v>
      </c>
      <c r="B36" s="69" t="s">
        <v>48</v>
      </c>
      <c r="C36" s="70">
        <v>1363.08</v>
      </c>
      <c r="D36" s="71">
        <v>0</v>
      </c>
      <c r="E36" s="71">
        <v>2062.67</v>
      </c>
      <c r="F36" s="71"/>
      <c r="G36" s="71"/>
      <c r="H36" s="71">
        <v>1230.56</v>
      </c>
      <c r="I36" s="71">
        <v>2690</v>
      </c>
      <c r="J36" s="71"/>
      <c r="K36" s="71">
        <v>1194.55</v>
      </c>
      <c r="L36" s="71"/>
      <c r="M36" s="71">
        <v>1101.33</v>
      </c>
      <c r="N36" s="72"/>
      <c r="O36" s="73">
        <f>SUM(Tabla5[[#This Row],[Gener]:[Desembre]])</f>
        <v>9642.1899999999987</v>
      </c>
    </row>
    <row r="37" spans="1:18">
      <c r="A37" s="68">
        <v>34</v>
      </c>
      <c r="B37" s="69" t="s">
        <v>49</v>
      </c>
      <c r="C37" s="70">
        <v>8389.2900000000009</v>
      </c>
      <c r="D37" s="71">
        <v>2935.52</v>
      </c>
      <c r="E37" s="71">
        <v>6296.11</v>
      </c>
      <c r="F37" s="71">
        <v>5583.89</v>
      </c>
      <c r="G37" s="71">
        <v>7648.57</v>
      </c>
      <c r="H37" s="71">
        <v>7612.08</v>
      </c>
      <c r="I37" s="71">
        <v>1778.95</v>
      </c>
      <c r="J37" s="71">
        <v>7571.43</v>
      </c>
      <c r="K37" s="71">
        <v>6277.91</v>
      </c>
      <c r="L37" s="71">
        <v>5600.57</v>
      </c>
      <c r="M37" s="71">
        <v>5211.43</v>
      </c>
      <c r="N37" s="72">
        <v>5887.48</v>
      </c>
      <c r="O37" s="73">
        <f>SUM(Tabla5[[#This Row],[Gener]:[Desembre]])</f>
        <v>70793.23</v>
      </c>
    </row>
    <row r="38" spans="1:18">
      <c r="A38" s="68">
        <v>35</v>
      </c>
      <c r="B38" s="69" t="s">
        <v>50</v>
      </c>
      <c r="C38" s="70">
        <v>10918.48</v>
      </c>
      <c r="D38" s="71">
        <v>6749.74</v>
      </c>
      <c r="E38" s="71">
        <v>7414.59</v>
      </c>
      <c r="F38" s="71">
        <v>8410</v>
      </c>
      <c r="G38" s="71">
        <v>7840</v>
      </c>
      <c r="H38" s="71">
        <v>6946.53</v>
      </c>
      <c r="I38" s="71">
        <v>8408.43</v>
      </c>
      <c r="J38" s="71">
        <v>6777.83</v>
      </c>
      <c r="K38" s="71">
        <v>6864.88</v>
      </c>
      <c r="L38" s="71">
        <v>8328.7900000000009</v>
      </c>
      <c r="M38" s="71">
        <v>6129.73</v>
      </c>
      <c r="N38" s="72">
        <v>12753.86</v>
      </c>
      <c r="O38" s="73">
        <f>SUM(Tabla5[[#This Row],[Gener]:[Desembre]])</f>
        <v>97542.859999999986</v>
      </c>
    </row>
    <row r="39" spans="1:18">
      <c r="A39" s="68">
        <v>36</v>
      </c>
      <c r="B39" s="69" t="s">
        <v>51</v>
      </c>
      <c r="C39" s="70">
        <v>2341.48</v>
      </c>
      <c r="D39" s="71">
        <v>1024</v>
      </c>
      <c r="E39" s="71">
        <v>1924.21</v>
      </c>
      <c r="F39" s="71">
        <v>1942.22</v>
      </c>
      <c r="G39" s="71">
        <v>2611.4299999999998</v>
      </c>
      <c r="H39" s="71">
        <v>2548.13</v>
      </c>
      <c r="I39" s="71">
        <v>2705.79</v>
      </c>
      <c r="J39" s="71">
        <v>2135.6799999999998</v>
      </c>
      <c r="K39" s="71">
        <v>2021.86</v>
      </c>
      <c r="L39" s="71">
        <v>1659.43</v>
      </c>
      <c r="M39" s="71">
        <v>1520</v>
      </c>
      <c r="N39" s="72">
        <v>1481.31</v>
      </c>
      <c r="O39" s="73">
        <f>SUM(Tabla5[[#This Row],[Gener]:[Desembre]])</f>
        <v>23915.540000000005</v>
      </c>
    </row>
    <row r="40" spans="1:18">
      <c r="A40" s="68">
        <v>37</v>
      </c>
      <c r="B40" s="69" t="s">
        <v>52</v>
      </c>
      <c r="C40" s="70">
        <v>13325.86</v>
      </c>
      <c r="D40" s="71">
        <v>8073.33</v>
      </c>
      <c r="E40" s="71">
        <v>8540</v>
      </c>
      <c r="F40" s="71">
        <v>10485.16</v>
      </c>
      <c r="G40" s="71">
        <v>11547.83</v>
      </c>
      <c r="H40" s="71">
        <v>10063.19</v>
      </c>
      <c r="I40" s="71">
        <v>12326</v>
      </c>
      <c r="J40" s="71">
        <v>8743.8700000000008</v>
      </c>
      <c r="K40" s="71">
        <v>8555.1200000000008</v>
      </c>
      <c r="L40" s="71">
        <v>9378.34</v>
      </c>
      <c r="M40" s="71">
        <v>9344.15</v>
      </c>
      <c r="N40" s="72">
        <v>12422.93</v>
      </c>
      <c r="O40" s="73">
        <f>SUM(Tabla5[[#This Row],[Gener]:[Desembre]])</f>
        <v>122805.78</v>
      </c>
    </row>
    <row r="41" spans="1:18">
      <c r="A41" s="68">
        <v>38</v>
      </c>
      <c r="B41" s="69" t="s">
        <v>53</v>
      </c>
      <c r="C41" s="70">
        <v>2462.5</v>
      </c>
      <c r="D41" s="71">
        <v>2023.78</v>
      </c>
      <c r="E41" s="71">
        <v>1562.26</v>
      </c>
      <c r="F41" s="71">
        <v>3387.27</v>
      </c>
      <c r="G41" s="71">
        <v>3049.66</v>
      </c>
      <c r="H41" s="71">
        <v>1995</v>
      </c>
      <c r="I41" s="71">
        <v>3140.87</v>
      </c>
      <c r="J41" s="71">
        <v>2240.5300000000002</v>
      </c>
      <c r="K41" s="71">
        <v>2787.69</v>
      </c>
      <c r="L41" s="71">
        <v>2520</v>
      </c>
      <c r="M41" s="71">
        <v>3683.33</v>
      </c>
      <c r="N41" s="72">
        <v>3629.15</v>
      </c>
      <c r="O41" s="73">
        <f>SUM(Tabla5[[#This Row],[Gener]:[Desembre]])</f>
        <v>32482.04</v>
      </c>
    </row>
    <row r="42" spans="1:18">
      <c r="A42" s="68">
        <v>39</v>
      </c>
      <c r="B42" s="69" t="s">
        <v>54</v>
      </c>
      <c r="C42" s="70">
        <v>3693.75</v>
      </c>
      <c r="D42" s="71">
        <v>4335.1400000000003</v>
      </c>
      <c r="E42" s="71">
        <v>1874.72</v>
      </c>
      <c r="F42" s="71">
        <v>5935.06</v>
      </c>
      <c r="G42" s="71">
        <v>3049.66</v>
      </c>
      <c r="H42" s="71">
        <v>6021</v>
      </c>
      <c r="I42" s="71">
        <v>6036</v>
      </c>
      <c r="J42" s="71">
        <v>6295.26</v>
      </c>
      <c r="K42" s="71">
        <v>5297.75</v>
      </c>
      <c r="L42" s="71">
        <v>4786.67</v>
      </c>
      <c r="M42" s="71">
        <v>6360.88</v>
      </c>
      <c r="N42" s="75">
        <v>8764.17</v>
      </c>
      <c r="O42" s="73">
        <f>SUM(Tabla5[[#This Row],[Gener]:[Desembre]])</f>
        <v>62450.06</v>
      </c>
    </row>
    <row r="43" spans="1:18">
      <c r="A43" s="68">
        <v>40</v>
      </c>
      <c r="B43" s="69" t="s">
        <v>55</v>
      </c>
      <c r="C43" s="70">
        <v>492.5</v>
      </c>
      <c r="D43" s="71">
        <v>674.59</v>
      </c>
      <c r="E43" s="71">
        <v>156.22999999999999</v>
      </c>
      <c r="F43" s="71">
        <v>752.73</v>
      </c>
      <c r="G43" s="71">
        <v>554.48</v>
      </c>
      <c r="H43" s="71">
        <v>249.38</v>
      </c>
      <c r="I43" s="71">
        <v>972.12</v>
      </c>
      <c r="J43" s="71">
        <v>1515.79</v>
      </c>
      <c r="K43" s="71">
        <v>929.23</v>
      </c>
      <c r="L43" s="71">
        <v>840</v>
      </c>
      <c r="M43" s="71">
        <v>566.66999999999996</v>
      </c>
      <c r="N43" s="75">
        <v>1169.45</v>
      </c>
      <c r="O43" s="73">
        <f>SUM(Tabla5[[#This Row],[Gener]:[Desembre]])</f>
        <v>8873.17</v>
      </c>
    </row>
    <row r="44" spans="1:18" ht="15" thickBot="1">
      <c r="A44" s="76">
        <v>41</v>
      </c>
      <c r="B44" s="77" t="s">
        <v>56</v>
      </c>
      <c r="C44" s="78"/>
      <c r="D44" s="79">
        <v>0</v>
      </c>
      <c r="E44" s="79"/>
      <c r="F44" s="79"/>
      <c r="G44" s="79"/>
      <c r="H44" s="79"/>
      <c r="I44" s="79"/>
      <c r="J44" s="79"/>
      <c r="K44" s="79"/>
      <c r="L44" s="79"/>
      <c r="M44" s="79"/>
      <c r="N44" s="80"/>
      <c r="O44" s="81">
        <f>SUM(Tabla5[[#This Row],[Gener]:[Desembre]])</f>
        <v>0</v>
      </c>
      <c r="R44" s="82"/>
    </row>
    <row r="45" spans="1:18" s="4" customFormat="1" ht="15" thickBot="1">
      <c r="A45" s="83"/>
      <c r="B45" s="84" t="s">
        <v>16</v>
      </c>
      <c r="C45" s="85">
        <f t="shared" ref="C45:N45" si="0">SUBTOTAL(109,C5:C44)</f>
        <v>715158.38000000012</v>
      </c>
      <c r="D45" s="86">
        <f t="shared" si="0"/>
        <v>444419.8600000001</v>
      </c>
      <c r="E45" s="86">
        <f t="shared" si="0"/>
        <v>553002.98999999976</v>
      </c>
      <c r="F45" s="86">
        <f t="shared" si="0"/>
        <v>509959.11999999994</v>
      </c>
      <c r="G45" s="86">
        <f t="shared" si="0"/>
        <v>462970.54000000004</v>
      </c>
      <c r="H45" s="86">
        <f t="shared" si="0"/>
        <v>606082.45000000007</v>
      </c>
      <c r="I45" s="86">
        <f t="shared" si="0"/>
        <v>665232.35</v>
      </c>
      <c r="J45" s="86">
        <f t="shared" si="0"/>
        <v>542675.20000000019</v>
      </c>
      <c r="K45" s="86">
        <f t="shared" si="0"/>
        <v>548264.05999999982</v>
      </c>
      <c r="L45" s="86">
        <f t="shared" si="0"/>
        <v>480047.67999999988</v>
      </c>
      <c r="M45" s="86">
        <f t="shared" si="0"/>
        <v>512420.74999999994</v>
      </c>
      <c r="N45" s="87">
        <f t="shared" si="0"/>
        <v>613171.46000000031</v>
      </c>
      <c r="O45" s="88">
        <f>SUBTOTAL(109,O5:O44)</f>
        <v>6653404.8399999999</v>
      </c>
    </row>
    <row r="46" spans="1:18" s="4" customFormat="1" ht="15" thickBot="1">
      <c r="A46" s="89"/>
      <c r="B46" s="90" t="s">
        <v>63</v>
      </c>
      <c r="C46" s="91">
        <v>11261.62</v>
      </c>
      <c r="D46" s="89">
        <v>4980.13</v>
      </c>
      <c r="E46" s="89">
        <v>2157.0100000000002</v>
      </c>
      <c r="F46" s="89">
        <v>360.87</v>
      </c>
      <c r="G46" s="89">
        <v>2149.48</v>
      </c>
      <c r="H46" s="89">
        <v>5077.5600000000004</v>
      </c>
      <c r="I46" s="89">
        <v>5907.63</v>
      </c>
      <c r="J46" s="89">
        <v>7404.8</v>
      </c>
      <c r="K46" s="89">
        <v>6295.93</v>
      </c>
      <c r="L46" s="89">
        <v>4272.34</v>
      </c>
      <c r="M46" s="89">
        <v>3139.24</v>
      </c>
      <c r="N46" s="92">
        <v>4808.57</v>
      </c>
      <c r="O46" s="93">
        <f>SUM(Tabla5[[#This Row],[Gener]:[Desembre]])</f>
        <v>57815.180000000008</v>
      </c>
    </row>
    <row r="47" spans="1:18" s="4" customFormat="1" ht="15" thickBot="1">
      <c r="A47" s="94"/>
      <c r="B47" s="95" t="s">
        <v>57</v>
      </c>
      <c r="C47" s="96">
        <f>C45+C46</f>
        <v>726420.00000000012</v>
      </c>
      <c r="D47" s="94">
        <f t="shared" ref="D47:N47" si="1">D45+D46</f>
        <v>449399.99000000011</v>
      </c>
      <c r="E47" s="94">
        <f t="shared" si="1"/>
        <v>555159.99999999977</v>
      </c>
      <c r="F47" s="94">
        <f t="shared" si="1"/>
        <v>510319.98999999993</v>
      </c>
      <c r="G47" s="94">
        <f t="shared" si="1"/>
        <v>465120.02</v>
      </c>
      <c r="H47" s="94">
        <f t="shared" si="1"/>
        <v>611160.01000000013</v>
      </c>
      <c r="I47" s="94">
        <f t="shared" si="1"/>
        <v>671139.98</v>
      </c>
      <c r="J47" s="94">
        <f t="shared" si="1"/>
        <v>550080.00000000023</v>
      </c>
      <c r="K47" s="94">
        <f t="shared" si="1"/>
        <v>554559.98999999987</v>
      </c>
      <c r="L47" s="94">
        <f t="shared" si="1"/>
        <v>484320.0199999999</v>
      </c>
      <c r="M47" s="94">
        <f t="shared" si="1"/>
        <v>515559.98999999993</v>
      </c>
      <c r="N47" s="97">
        <f t="shared" si="1"/>
        <v>617980.03000000026</v>
      </c>
      <c r="O47" s="98">
        <f>SUM(Tabla5[[#This Row],[Gener]:[Desembre]])</f>
        <v>6711220.0200000005</v>
      </c>
    </row>
    <row r="48" spans="1:18" ht="15" thickBot="1">
      <c r="A48" s="99"/>
      <c r="B48" s="100" t="s">
        <v>58</v>
      </c>
      <c r="C48" s="101">
        <v>613339.87</v>
      </c>
      <c r="D48" s="102">
        <v>429160.02</v>
      </c>
      <c r="E48" s="102">
        <v>422099.99999999994</v>
      </c>
      <c r="F48" s="102">
        <v>464379.98999999993</v>
      </c>
      <c r="G48" s="102">
        <v>473939.96</v>
      </c>
      <c r="H48" s="102">
        <v>412300.00000000006</v>
      </c>
      <c r="I48" s="102">
        <v>549179.96999999974</v>
      </c>
      <c r="J48" s="102">
        <v>459940.02</v>
      </c>
      <c r="K48" s="102">
        <v>546939.98999999987</v>
      </c>
      <c r="L48" s="102">
        <v>542460.10000000009</v>
      </c>
      <c r="M48" s="102">
        <v>420879.99999999994</v>
      </c>
      <c r="N48" s="103">
        <v>530479.97</v>
      </c>
      <c r="O48" s="104">
        <f>SUM(Tabla5[[#This Row],[Gener]:[Desembre]])</f>
        <v>5865099.8899999997</v>
      </c>
    </row>
    <row r="49" spans="1:15" ht="15" thickBot="1">
      <c r="A49" s="99"/>
      <c r="B49" s="105" t="s">
        <v>59</v>
      </c>
      <c r="C49" s="106">
        <f t="shared" ref="C49:O49" si="2">(C45/C48)-1</f>
        <v>0.16600667098325128</v>
      </c>
      <c r="D49" s="106">
        <f t="shared" si="2"/>
        <v>3.5557459429701899E-2</v>
      </c>
      <c r="E49" s="106">
        <f t="shared" si="2"/>
        <v>0.31012316986496047</v>
      </c>
      <c r="F49" s="106">
        <f t="shared" si="2"/>
        <v>9.8150503857842741E-2</v>
      </c>
      <c r="G49" s="106">
        <f t="shared" si="2"/>
        <v>-2.3145168008200878E-2</v>
      </c>
      <c r="H49" s="106">
        <f t="shared" si="2"/>
        <v>0.47000351685665764</v>
      </c>
      <c r="I49" s="106">
        <f t="shared" si="2"/>
        <v>0.21131939680902834</v>
      </c>
      <c r="J49" s="106">
        <f t="shared" si="2"/>
        <v>0.17988254207581278</v>
      </c>
      <c r="K49" s="106">
        <f t="shared" si="2"/>
        <v>2.4208688781377496E-3</v>
      </c>
      <c r="L49" s="106">
        <f t="shared" si="2"/>
        <v>-0.11505439754923952</v>
      </c>
      <c r="M49" s="106">
        <f t="shared" si="2"/>
        <v>0.21749845561680292</v>
      </c>
      <c r="N49" s="106">
        <f t="shared" si="2"/>
        <v>0.15588051326424313</v>
      </c>
      <c r="O49" s="106">
        <f t="shared" si="2"/>
        <v>0.13440605697851127</v>
      </c>
    </row>
  </sheetData>
  <sheetProtection sheet="1" objects="1" scenarios="1"/>
  <pageMargins left="0.19685039370078741" right="0.19685039370078741" top="0.31496062992125984" bottom="0.31496062992125984" header="0.15748031496062992" footer="0.15748031496062992"/>
  <pageSetup paperSize="9" scale="73" orientation="landscape" r:id="rId1"/>
  <headerFooter>
    <oddHeader>&amp;L&amp;"Calibri,Normal"&amp;G&amp;C&amp;"Calibri,Normal"&amp;F&amp;R&amp;"Calibri,Normal"&amp;G</oddHeader>
    <oddFooter>&amp;L&amp;"Calibri,Normal"&amp;D&amp;C&amp;"Calibri,Normal"&amp;A&amp;R&amp;"Calibri,Normal"&amp;P de &amp;N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PAPER I CARTRÓ</vt:lpstr>
      <vt:lpstr>PAPER I CARTRÓ PORTA A PORTA</vt:lpstr>
      <vt:lpstr>ENVASOS</vt:lpstr>
      <vt:lpstr>VIDRE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Tecnic Dades</dc:creator>
  <cp:lastModifiedBy>Tecnic Dades</cp:lastModifiedBy>
  <cp:lastPrinted>2021-04-19T11:48:55Z</cp:lastPrinted>
  <dcterms:created xsi:type="dcterms:W3CDTF">2021-04-19T11:47:54Z</dcterms:created>
  <dcterms:modified xsi:type="dcterms:W3CDTF">2021-04-19T11:49:31Z</dcterms:modified>
</cp:coreProperties>
</file>